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53222"/>
  <mc:AlternateContent xmlns:mc="http://schemas.openxmlformats.org/markup-compatibility/2006">
    <mc:Choice Requires="x15">
      <x15ac:absPath xmlns:x15ac="http://schemas.microsoft.com/office/spreadsheetml/2010/11/ac" url="C:\Users\juan.carlos\Desktop\Nova pasta (4)\"/>
    </mc:Choice>
  </mc:AlternateContent>
  <workbookProtection workbookAlgorithmName="SHA-512" workbookHashValue="Ouf8LoDF8fgD+PepU15aHftXfcOFH7Fv6+Fn5Bv59JwSNDpma32dHxKucJY1u6JyMzVIIH69LLizbSo/6dYu+Q==" workbookSaltValue="jvP6nELYT+Yt8KPSZTTWEw==" workbookSpinCount="100000" lockStructure="1"/>
  <bookViews>
    <workbookView xWindow="0" yWindow="0" windowWidth="19200" windowHeight="10695" tabRatio="12" firstSheet="1" activeTab="1"/>
  </bookViews>
  <sheets>
    <sheet name="PF V.1" sheetId="1" state="hidden" r:id="rId1"/>
    <sheet name="INT. V.5" sheetId="5" r:id="rId2"/>
    <sheet name="PF V.3" sheetId="3" state="hidden" r:id="rId3"/>
    <sheet name="PERGUNTAS" sheetId="6" state="hidden" r:id="rId4"/>
    <sheet name="BASE DE DADOS" sheetId="2" state="hidden" r:id="rId5"/>
  </sheets>
  <definedNames>
    <definedName name="_xlnm.Print_Area" localSheetId="1">'INT. V.5'!$B$2:$AF$75</definedName>
    <definedName name="_xlnm.Print_Area" localSheetId="2">'PF V.3'!$B$2:$AF$47</definedName>
    <definedName name="EI">'BASE DE DADOS'!$Q$2:$Q$3</definedName>
    <definedName name="N">'BASE DE DADOS'!$AC$2:$AC$3</definedName>
    <definedName name="OPPF">'BASE DE DADOS'!$V$2</definedName>
    <definedName name="OPPJ">'BASE DE DADOS'!$W$2:$W$32</definedName>
    <definedName name="PF">'BASE DE DADOS'!$R$2:$R$3</definedName>
    <definedName name="PGTO.">'BASE DE DADOS'!$C$1:$C$4</definedName>
    <definedName name="PJP">'BASE DE DADOS'!$P$2:$P$31</definedName>
    <definedName name="PJPJ">'BASE DE DADOS'!$O$2:$O$31</definedName>
    <definedName name="S">'BASE DE DADOS'!$AB$2:$AB$32</definedName>
    <definedName name="SOCIOSPJ">'BASE DE DADOS'!$M$1:$M$31</definedName>
    <definedName name="TIPOPJ">'BASE DE DADOS'!$F$1:$F$5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S15" i="5" l="1"/>
  <c r="AT33" i="5"/>
  <c r="AT31" i="5"/>
  <c r="AT29" i="5"/>
  <c r="AT27" i="5"/>
  <c r="AT25" i="5"/>
  <c r="AT23" i="5"/>
  <c r="AT21" i="5"/>
  <c r="AT19" i="5"/>
  <c r="AT17" i="5"/>
  <c r="AT15" i="5"/>
  <c r="AS33" i="5"/>
  <c r="AS31" i="5"/>
  <c r="AS29" i="5"/>
  <c r="AS27" i="5"/>
  <c r="AS25" i="5"/>
  <c r="AS23" i="5"/>
  <c r="AS21" i="5"/>
  <c r="AS19" i="5"/>
  <c r="AS17" i="5"/>
  <c r="AS35" i="5" l="1"/>
  <c r="W33" i="5"/>
  <c r="C19" i="5" l="1"/>
  <c r="C33" i="5"/>
  <c r="C25" i="5"/>
  <c r="C17" i="5"/>
  <c r="C37" i="5"/>
  <c r="C31" i="5"/>
  <c r="C23" i="5"/>
  <c r="C15" i="5"/>
  <c r="C29" i="5"/>
  <c r="C21" i="5"/>
  <c r="C27" i="5"/>
  <c r="AA31" i="5"/>
  <c r="S8" i="5"/>
  <c r="T8" i="5"/>
  <c r="AR29" i="5"/>
  <c r="AR25" i="5"/>
  <c r="AR23" i="5"/>
  <c r="AL33" i="5"/>
  <c r="AG33" i="5" s="1"/>
  <c r="AA33" i="5" s="1"/>
  <c r="AG31" i="5"/>
  <c r="W27" i="5"/>
  <c r="AH7" i="5"/>
  <c r="AL21" i="5" s="1"/>
  <c r="AA21" i="5" s="1"/>
  <c r="C33" i="3"/>
  <c r="AQ27" i="3"/>
  <c r="K32" i="2"/>
  <c r="I34" i="2"/>
  <c r="I33" i="2"/>
  <c r="I32" i="2"/>
  <c r="H34" i="2"/>
  <c r="H33" i="2"/>
  <c r="H32" i="2"/>
  <c r="D18" i="6"/>
  <c r="D12" i="6"/>
  <c r="D10" i="6"/>
  <c r="D6" i="6"/>
  <c r="R9" i="5" l="1"/>
  <c r="AL19" i="5"/>
  <c r="AL27" i="5"/>
  <c r="AA27" i="5" s="1"/>
  <c r="AG25" i="5"/>
  <c r="AA25" i="5" s="1"/>
  <c r="AA22" i="3"/>
  <c r="AL22" i="3"/>
  <c r="AG20" i="3"/>
  <c r="AA20" i="3"/>
  <c r="W10" i="3"/>
  <c r="AL18" i="3" l="1"/>
  <c r="AG18" i="3" s="1"/>
  <c r="AA18" i="3"/>
  <c r="W12" i="3"/>
  <c r="AG12" i="3" s="1"/>
  <c r="AL12" i="3" s="1"/>
  <c r="AL10" i="3"/>
  <c r="AA10" i="3"/>
  <c r="AG16" i="3"/>
  <c r="AA16" i="3"/>
  <c r="AG19" i="5"/>
  <c r="AA19" i="5" s="1"/>
  <c r="AL23" i="5"/>
  <c r="AG23" i="5" s="1"/>
  <c r="AA23" i="5" s="1"/>
  <c r="AG29" i="5"/>
  <c r="AA29" i="5" s="1"/>
  <c r="W15" i="5"/>
  <c r="AA15" i="5" s="1"/>
  <c r="G13" i="2"/>
  <c r="I31" i="2"/>
  <c r="I30" i="2"/>
  <c r="I25" i="2"/>
  <c r="I24" i="2"/>
  <c r="H24" i="2"/>
  <c r="H25" i="2"/>
  <c r="H26" i="2"/>
  <c r="H27" i="2"/>
  <c r="H28" i="2"/>
  <c r="H29" i="2"/>
  <c r="H30" i="2"/>
  <c r="H31" i="2"/>
  <c r="H23" i="2"/>
  <c r="F9" i="2"/>
  <c r="F8" i="2"/>
  <c r="AG21" i="5"/>
  <c r="W19" i="5"/>
  <c r="W17" i="5"/>
  <c r="AG17" i="5" s="1"/>
  <c r="AA17" i="5" s="1"/>
  <c r="AL15" i="5"/>
  <c r="D4" i="2"/>
  <c r="D3" i="2"/>
  <c r="W14" i="3"/>
  <c r="AG14" i="3" s="1"/>
  <c r="AA14" i="3" s="1"/>
  <c r="AA35" i="5" l="1"/>
  <c r="AA28" i="3"/>
  <c r="F11" i="2"/>
  <c r="H13" i="2"/>
  <c r="I13" i="2" s="1"/>
  <c r="I28" i="2" s="1"/>
  <c r="J26" i="2"/>
  <c r="AA12" i="3"/>
  <c r="AA24" i="3" s="1"/>
  <c r="AL17" i="5"/>
  <c r="AL14" i="3"/>
  <c r="Z23" i="1"/>
  <c r="Z9" i="1"/>
  <c r="Z15" i="1"/>
  <c r="V19" i="1"/>
  <c r="AF19" i="1" s="1"/>
  <c r="Z19" i="1" s="1"/>
  <c r="V17" i="1"/>
  <c r="Z17" i="1"/>
  <c r="AK17" i="1"/>
  <c r="AF15" i="1"/>
  <c r="V9" i="1"/>
  <c r="V13" i="1"/>
  <c r="AF13" i="1" s="1"/>
  <c r="Z13" i="1" s="1"/>
  <c r="V11" i="1"/>
  <c r="AK9" i="1"/>
  <c r="J38" i="2" l="1"/>
  <c r="J41" i="2" s="1"/>
  <c r="C44" i="5" s="1"/>
  <c r="AA30" i="3"/>
  <c r="L30" i="3" s="1"/>
  <c r="I27" i="2"/>
  <c r="I26" i="2"/>
  <c r="Z21" i="1"/>
  <c r="Z25" i="1" s="1"/>
  <c r="K25" i="1" s="1"/>
  <c r="AK13" i="1"/>
  <c r="AF11" i="1"/>
  <c r="Z11" i="1" s="1"/>
  <c r="G11" i="2" l="1"/>
  <c r="AA39" i="5" s="1"/>
  <c r="AA41" i="5" s="1"/>
  <c r="L41" i="5" s="1"/>
  <c r="AK11" i="1"/>
  <c r="AL37" i="5" l="1"/>
</calcChain>
</file>

<file path=xl/sharedStrings.xml><?xml version="1.0" encoding="utf-8"?>
<sst xmlns="http://schemas.openxmlformats.org/spreadsheetml/2006/main" count="219" uniqueCount="102">
  <si>
    <t>CALCULADORA DE BENEFÍCIOS</t>
  </si>
  <si>
    <t>SELECIONE</t>
  </si>
  <si>
    <t>SIM</t>
  </si>
  <si>
    <t>NÃO</t>
  </si>
  <si>
    <t>PF -v.1</t>
  </si>
  <si>
    <t>RESPOSTA</t>
  </si>
  <si>
    <t>CUSTO (mês)</t>
  </si>
  <si>
    <t>CUSTO (ano)</t>
  </si>
  <si>
    <t>*</t>
  </si>
  <si>
    <t>**</t>
  </si>
  <si>
    <t>Para efeito de cálculo está sendo considerada a aquisição do E-CPF A1.</t>
  </si>
  <si>
    <t>DESCONTOS SENDO ASSOCIADO</t>
  </si>
  <si>
    <t>-</t>
  </si>
  <si>
    <t>***</t>
  </si>
  <si>
    <t>Média de R$ 200,00 de desconto comparada a contratação no mercado em geral.</t>
  </si>
  <si>
    <t>Oferecimento - Estadão.</t>
  </si>
  <si>
    <r>
      <t xml:space="preserve">Você lê jornal pelo menos </t>
    </r>
    <r>
      <rPr>
        <u/>
        <sz val="11"/>
        <color theme="1"/>
        <rFont val="Calibri"/>
        <family val="2"/>
        <scheme val="minor"/>
      </rPr>
      <t>uma</t>
    </r>
    <r>
      <rPr>
        <sz val="11"/>
        <color theme="1"/>
        <rFont val="Calibri"/>
        <family val="2"/>
        <scheme val="minor"/>
      </rPr>
      <t xml:space="preserve"> vez por semana? </t>
    </r>
    <r>
      <rPr>
        <b/>
        <sz val="11"/>
        <color theme="1"/>
        <rFont val="Calibri"/>
        <family val="2"/>
        <scheme val="minor"/>
      </rPr>
      <t>*</t>
    </r>
  </si>
  <si>
    <t>Você possui RC Profissional? ****</t>
  </si>
  <si>
    <t>****</t>
  </si>
  <si>
    <t>Para efeito de cálculo está sendo considerado o curso de Seguros de Automóveis e RCF-V (Curso Online).</t>
  </si>
  <si>
    <r>
      <t xml:space="preserve">Você ou seu filho gostariam de ingressar em universidade particular? </t>
    </r>
    <r>
      <rPr>
        <b/>
        <sz val="11"/>
        <color theme="1"/>
        <rFont val="Calibri"/>
        <family val="2"/>
        <scheme val="minor"/>
      </rPr>
      <t>*****</t>
    </r>
  </si>
  <si>
    <t>*****</t>
  </si>
  <si>
    <t>Para fins de cálculo está sendo considerada a universidade Anhembi Morumbi - R$ 1.110,00 (mensalidade) x 20% de desconto (R$ 222,00 ao mês) x 12 meses = R$ 2.664,00.</t>
  </si>
  <si>
    <t>LIBERAÇÕES</t>
  </si>
  <si>
    <t>Considerando os últimos 12 meses, quantas vezes você precisou de atendimento ao Hospital Nipo Brasileiro?</t>
  </si>
  <si>
    <r>
      <t xml:space="preserve">Quantos cursos você comprou nos últimos 12 meses? </t>
    </r>
    <r>
      <rPr>
        <b/>
        <sz val="11"/>
        <color theme="1"/>
        <rFont val="Calibri"/>
        <family val="2"/>
        <scheme val="minor"/>
      </rPr>
      <t>**</t>
    </r>
  </si>
  <si>
    <r>
      <t xml:space="preserve">Você comprou certificado digital nos últimos 12 meses? </t>
    </r>
    <r>
      <rPr>
        <b/>
        <sz val="11"/>
        <color theme="1"/>
        <rFont val="Calibri"/>
        <family val="2"/>
        <scheme val="minor"/>
      </rPr>
      <t>***</t>
    </r>
  </si>
  <si>
    <t xml:space="preserve">VALOR ASSOCIATIVA -&gt; </t>
  </si>
  <si>
    <t>TOTAL POTENCIAL DE DESCONTOS SENDO ASSOCIADO -&gt;</t>
  </si>
  <si>
    <t>MENSAL - BOLETO</t>
  </si>
  <si>
    <t>MENSAL - CARTÃO DE CRÉDITO</t>
  </si>
  <si>
    <r>
      <t xml:space="preserve">VALOR </t>
    </r>
    <r>
      <rPr>
        <b/>
        <sz val="14"/>
        <color theme="0"/>
        <rFont val="Calibri"/>
        <family val="2"/>
        <scheme val="minor"/>
      </rPr>
      <t>ANUAL</t>
    </r>
    <r>
      <rPr>
        <sz val="12"/>
        <color theme="0"/>
        <rFont val="Calibri"/>
        <family val="2"/>
        <scheme val="minor"/>
      </rPr>
      <t xml:space="preserve"> DA ASSOCIATIVA -&gt; </t>
    </r>
  </si>
  <si>
    <t>À VISTA (ANUAL)</t>
  </si>
  <si>
    <r>
      <t xml:space="preserve">Você lê jornal pelo menos </t>
    </r>
    <r>
      <rPr>
        <u/>
        <sz val="12"/>
        <color theme="1"/>
        <rFont val="Calibri"/>
        <family val="2"/>
        <scheme val="minor"/>
      </rPr>
      <t>uma</t>
    </r>
    <r>
      <rPr>
        <sz val="12"/>
        <color theme="1"/>
        <rFont val="Calibri"/>
        <family val="2"/>
        <scheme val="minor"/>
      </rPr>
      <t xml:space="preserve"> vez por semana? </t>
    </r>
    <r>
      <rPr>
        <b/>
        <sz val="12"/>
        <color theme="1"/>
        <rFont val="Calibri"/>
        <family val="2"/>
        <scheme val="minor"/>
      </rPr>
      <t>*</t>
    </r>
  </si>
  <si>
    <t>Para fins de cálculo está sendo considerada a universidade Escola de Negócios e Seguros - R$ 1.060,00 (mensalidade) x 20% de desconto (R$ 212,00 ao mês) x 12 meses = R$ 2.544,00.</t>
  </si>
  <si>
    <t>TIPO DE CORRETORA</t>
  </si>
  <si>
    <t>EIRELI INDIVIDUAL</t>
  </si>
  <si>
    <t>PESSOA JURÍDICA</t>
  </si>
  <si>
    <t>PJ COM PARTICIPAÇÃO DE PJ</t>
  </si>
  <si>
    <t>QUANTIDADE DE SÓCIOS</t>
  </si>
  <si>
    <t>QUANTIDADE DE COLABORADORES</t>
  </si>
  <si>
    <t>PJPJ</t>
  </si>
  <si>
    <t>EI</t>
  </si>
  <si>
    <t>PJP</t>
  </si>
  <si>
    <t>******</t>
  </si>
  <si>
    <t>PF -v.3</t>
  </si>
  <si>
    <t>Para fins de cálculo está sendo considerada a Escola de Negócios e Seguros - R$ 3.120,00 (valor total do curso) x 20% de desconto = R$ 624,00.</t>
  </si>
  <si>
    <r>
      <t xml:space="preserve">Você ou seu filho gostariam de ingressar em uma Pós-Graduação </t>
    </r>
    <r>
      <rPr>
        <u/>
        <sz val="12"/>
        <color theme="1"/>
        <rFont val="Calibri"/>
        <family val="2"/>
        <scheme val="minor"/>
      </rPr>
      <t>Online</t>
    </r>
    <r>
      <rPr>
        <sz val="12"/>
        <color theme="1"/>
        <rFont val="Calibri"/>
        <family val="2"/>
        <scheme val="minor"/>
      </rPr>
      <t xml:space="preserve">? Se sim, quantas pessoas? </t>
    </r>
    <r>
      <rPr>
        <b/>
        <sz val="12"/>
        <color theme="1"/>
        <rFont val="Calibri"/>
        <family val="2"/>
        <scheme val="minor"/>
      </rPr>
      <t>******</t>
    </r>
  </si>
  <si>
    <t>*******</t>
  </si>
  <si>
    <t>FRASE</t>
  </si>
  <si>
    <t>PAGUE EM 4X DE R$ 351,00 NO CARTÃO DE CRÉDITO - APROVEITE!</t>
  </si>
  <si>
    <t>PAGUE EM 4X DE R$ 1.377,00 NO CARTÃO DE CRÉDITO - APROVEITE!</t>
  </si>
  <si>
    <t>Parceria com Estadão - Até 03 acessos por Login.</t>
  </si>
  <si>
    <t>ACESSOS</t>
  </si>
  <si>
    <r>
      <t xml:space="preserve">Quantos cursos você acha ideal fazer durante um ano? </t>
    </r>
    <r>
      <rPr>
        <b/>
        <sz val="12"/>
        <color theme="1"/>
        <rFont val="Calibri"/>
        <family val="2"/>
        <scheme val="minor"/>
      </rPr>
      <t>**</t>
    </r>
  </si>
  <si>
    <t>Para efeito de cálculo está sendo considerada a aquisição do E-CPF A1 (ID Seguro).</t>
  </si>
  <si>
    <r>
      <t xml:space="preserve">Você compraria certificado digital com 40% de desconto? </t>
    </r>
    <r>
      <rPr>
        <b/>
        <sz val="12"/>
        <color theme="1"/>
        <rFont val="Calibri"/>
        <family val="2"/>
        <scheme val="minor"/>
      </rPr>
      <t>***</t>
    </r>
  </si>
  <si>
    <t>Você necessita comprar uma Apólice de RC nos próximos 12 meses para garantir a continuidade dos seus negócios? ****</t>
  </si>
  <si>
    <r>
      <t xml:space="preserve">Você ou seu(s) filho(s) gostariam de contar com desconto em uma universidade particular? Se sim, quantas pessoas? </t>
    </r>
    <r>
      <rPr>
        <b/>
        <sz val="12"/>
        <color theme="1"/>
        <rFont val="Calibri"/>
        <family val="2"/>
        <scheme val="minor"/>
      </rPr>
      <t>*****</t>
    </r>
  </si>
  <si>
    <t>Sua corretora tem um APP personalizado (logo da corretora / relacionamento com clientes / entre outros) para vendas ao consumidor final? (segurado)</t>
  </si>
  <si>
    <r>
      <rPr>
        <sz val="11"/>
        <color theme="1"/>
        <rFont val="Calibri"/>
        <family val="2"/>
        <scheme val="minor"/>
      </rPr>
      <t>GRATUITO</t>
    </r>
    <r>
      <rPr>
        <sz val="10"/>
        <color theme="1"/>
        <rFont val="Calibri"/>
        <family val="2"/>
        <scheme val="minor"/>
      </rPr>
      <t xml:space="preserve"> PARA ASSOCIADOS DO SINCOR-SP</t>
    </r>
  </si>
  <si>
    <t>Indique a opção para contribuição da Associativa ao Sincor-SP</t>
  </si>
  <si>
    <t>PESSOA FÍSICA</t>
  </si>
  <si>
    <t>Você lê jornal pelo menos uma vez por semana? *</t>
  </si>
  <si>
    <t>Quantos cursos você acha ideal fazer durante um ano? **</t>
  </si>
  <si>
    <t>Considerando sócios e colaboradores da corretora, quantos cursos você acha ideal fazer durante um ano? **</t>
  </si>
  <si>
    <t>Você compraria certificado digital com 40% de desconto? ***</t>
  </si>
  <si>
    <t>Você ou seu(s) filho(s) gostariam de contar com desconto em uma universidade particular? Se sim, quantas pessoas? *****</t>
  </si>
  <si>
    <t>Você, acionistas, filhos dos sócios ou colaboradores gostariam de contar com desconto em uma universidade particular? Se sim, quantas pessoas? *****</t>
  </si>
  <si>
    <t>Você ou seu filho gostariam de contar com desconto em uma Pós-Graduação Online? Se sim, quantas pessoas? ******</t>
  </si>
  <si>
    <t>Você, acionistas, filhos dos sócios ou colaboradores gostariam de contar com desconto em uma Pós-Graduação Online? Se sim, quantas pessoas? ******</t>
  </si>
  <si>
    <t>PF</t>
  </si>
  <si>
    <t>PAGUE EM 4X DE R$ 243,00 NO CARTÃO DE CRÉDITO - APROVEITE!</t>
  </si>
  <si>
    <r>
      <rPr>
        <b/>
        <sz val="14"/>
        <color theme="0"/>
        <rFont val="Calibri"/>
        <family val="2"/>
        <scheme val="minor"/>
      </rPr>
      <t>DESCONTOS</t>
    </r>
    <r>
      <rPr>
        <b/>
        <sz val="11"/>
        <color theme="0"/>
        <rFont val="Calibri"/>
        <family val="2"/>
        <scheme val="minor"/>
      </rPr>
      <t xml:space="preserve"> SENDO ASSOCIADO</t>
    </r>
  </si>
  <si>
    <t>Gratuito para Associados - Parceria com Estadão - Até 03 acessos por Login disponibilizado.</t>
  </si>
  <si>
    <t>Para efeito de cálculo está sendo considerada a aquisição do E-CPF A1 (ID Seguro) para Pessoa Física e E-CNPJ A1 (ID Seguro) para Pessoa Jurídica.</t>
  </si>
  <si>
    <t>Média de R$ 200,00 de desconto para Pessoa Física e de R$ 250,00 para Pessoa Jurídica comparada a contratação no mercado em geral.</t>
  </si>
  <si>
    <t>OPÇÃO PF</t>
  </si>
  <si>
    <t>OPÇÃO PJ</t>
  </si>
  <si>
    <t>EXCLUSIVO PARA PESSOA JURÍDICA</t>
  </si>
  <si>
    <t>S</t>
  </si>
  <si>
    <t>N</t>
  </si>
  <si>
    <t>Sua corretora tem um APP personalizado (logo da corretora / relacionamento com clientes / entre outros) para vendas ao consumidor final? (segurado) *******</t>
  </si>
  <si>
    <t>Você ou seu filho desejam fazer o curso de habilitação da ENS nos próximos 12 meses? Se sim, quantas pessoas? ********</t>
  </si>
  <si>
    <t>Você, acionistas ou colaboradores desejam fazer o curso de habilitação da ENS nos próximos 12 meses? Se sim, quantas pessoas? ********</t>
  </si>
  <si>
    <t>********</t>
  </si>
  <si>
    <t>Para fins de cálculo está sendo considerada a Escola de Negócios e Seguros - R$ 5.924,00 (valor integral) x 20% de desconto (R$ 1.184,80) - Verifique as condições vigentes para obter esse benefício.</t>
  </si>
  <si>
    <t>*********</t>
  </si>
  <si>
    <t>Associados ao Sincor-SP possuem descontos para compra de equipamentos de informática. Você gostaria desses descontos? *********</t>
  </si>
  <si>
    <t>Associados ao Sincor-SP possuem descontos para compra de equipamentos de informática. Você ou acionista da corretora gostariam desses descontos? *********</t>
  </si>
  <si>
    <t>Você tem o plano de Saúde do Sincare?  (Reduza custos agora mesmo - cote online, basta clicar no banner neste formulário) **********</t>
  </si>
  <si>
    <t>Você ou acionistas possuem o plano de Saúde do Sincare?  (Reduza custos agora mesmo - cote online, basta clicar no banner neste formulário) **********</t>
  </si>
  <si>
    <t>**********</t>
  </si>
  <si>
    <t>O SinCare foi estruturado para oferecer opções de planos de saúde, que atendem, de maneira única e simplificada, as necessidades dos mais diversos perfis de corretores de seguros associados. Para fins de cálculo está sendo considerado duas vidas em plano enfermaria. Obs.: Este cálculo irá variar de acordo com a quantidade de vidas, região, rede referenciada, se há coparticipação ou não, idade, dentre outras informações. Cote agora e veja que vale a pena!</t>
  </si>
  <si>
    <t>ANUAL</t>
  </si>
  <si>
    <t>A Anual será contabilizada a partir do momento de associação.</t>
  </si>
  <si>
    <t>Parceria do Sincor-SP com a Dell - Nas compras acima de R$2.899,00.</t>
  </si>
  <si>
    <t>REGRAS 01</t>
  </si>
  <si>
    <t>REGRAS 02</t>
  </si>
  <si>
    <t>Prezado(a) selecione o campo "Tipo de Corretora" e a "Quantidade de Sócios" para prosseguirmos.</t>
  </si>
  <si>
    <t>Gratuito para Associados - Parceria com a Seggy - Cadastre-se</t>
  </si>
  <si>
    <t>INT -v.5.3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</si>
</sst>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20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11"/>
      <color rgb="FF1D264D"/>
      <name val="Calibri"/>
      <family val="2"/>
      <scheme val="minor"/>
    </font>
    <font>
      <sz val="11"/>
      <color rgb="FF1D264D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u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2"/>
      <color rgb="FF1D264D"/>
      <name val="Calibri"/>
      <family val="2"/>
      <scheme val="minor"/>
    </font>
    <font>
      <b/>
      <sz val="28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rgb="FFB5996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B59962"/>
      <name val="Calibri"/>
      <family val="2"/>
      <scheme val="minor"/>
    </font>
    <font>
      <b/>
      <sz val="11"/>
      <color rgb="FFB59962"/>
      <name val="Calibri"/>
      <family val="2"/>
      <scheme val="minor"/>
    </font>
    <font>
      <sz val="10.5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B59962"/>
        <bgColor indexed="64"/>
      </patternFill>
    </fill>
    <fill>
      <patternFill patternType="solid">
        <fgColor rgb="FF1D264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2E3C7A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1D264D"/>
      </left>
      <right style="thin">
        <color rgb="FF1D264D"/>
      </right>
      <top style="thin">
        <color rgb="FF1D264D"/>
      </top>
      <bottom style="thin">
        <color rgb="FF1D264D"/>
      </bottom>
      <diagonal/>
    </border>
    <border>
      <left style="thin">
        <color rgb="FF1D264D"/>
      </left>
      <right/>
      <top style="thin">
        <color rgb="FF1D264D"/>
      </top>
      <bottom/>
      <diagonal/>
    </border>
    <border>
      <left/>
      <right/>
      <top style="thin">
        <color rgb="FF1D264D"/>
      </top>
      <bottom/>
      <diagonal/>
    </border>
    <border>
      <left/>
      <right style="thin">
        <color rgb="FF1D264D"/>
      </right>
      <top style="thin">
        <color rgb="FF1D264D"/>
      </top>
      <bottom/>
      <diagonal/>
    </border>
    <border>
      <left style="thin">
        <color rgb="FF1D264D"/>
      </left>
      <right/>
      <top/>
      <bottom/>
      <diagonal/>
    </border>
    <border>
      <left/>
      <right style="thin">
        <color rgb="FF1D264D"/>
      </right>
      <top/>
      <bottom/>
      <diagonal/>
    </border>
    <border>
      <left style="thin">
        <color rgb="FF1D264D"/>
      </left>
      <right/>
      <top/>
      <bottom style="thin">
        <color rgb="FF1D264D"/>
      </bottom>
      <diagonal/>
    </border>
    <border>
      <left/>
      <right/>
      <top/>
      <bottom style="thin">
        <color rgb="FF1D264D"/>
      </bottom>
      <diagonal/>
    </border>
    <border>
      <left/>
      <right style="thin">
        <color rgb="FF1D264D"/>
      </right>
      <top/>
      <bottom style="thin">
        <color rgb="FF1D264D"/>
      </bottom>
      <diagonal/>
    </border>
    <border>
      <left style="thin">
        <color rgb="FF1D264D"/>
      </left>
      <right style="thin">
        <color rgb="FF1D264D"/>
      </right>
      <top style="thin">
        <color rgb="FF1D264D"/>
      </top>
      <bottom/>
      <diagonal/>
    </border>
    <border>
      <left style="medium">
        <color rgb="FF1D264D"/>
      </left>
      <right style="thin">
        <color rgb="FF1D264D"/>
      </right>
      <top style="medium">
        <color rgb="FF1D264D"/>
      </top>
      <bottom style="thin">
        <color rgb="FF1D264D"/>
      </bottom>
      <diagonal/>
    </border>
    <border>
      <left style="thin">
        <color rgb="FF1D264D"/>
      </left>
      <right style="thin">
        <color rgb="FF1D264D"/>
      </right>
      <top style="medium">
        <color rgb="FF1D264D"/>
      </top>
      <bottom style="thin">
        <color rgb="FF1D264D"/>
      </bottom>
      <diagonal/>
    </border>
    <border>
      <left style="thin">
        <color rgb="FF1D264D"/>
      </left>
      <right style="medium">
        <color rgb="FF1D264D"/>
      </right>
      <top style="medium">
        <color rgb="FF1D264D"/>
      </top>
      <bottom style="thin">
        <color rgb="FF1D264D"/>
      </bottom>
      <diagonal/>
    </border>
    <border>
      <left style="medium">
        <color rgb="FF1D264D"/>
      </left>
      <right style="thin">
        <color rgb="FF1D264D"/>
      </right>
      <top style="thin">
        <color rgb="FF1D264D"/>
      </top>
      <bottom style="medium">
        <color rgb="FF1D264D"/>
      </bottom>
      <diagonal/>
    </border>
    <border>
      <left style="thin">
        <color rgb="FF1D264D"/>
      </left>
      <right style="thin">
        <color rgb="FF1D264D"/>
      </right>
      <top style="thin">
        <color rgb="FF1D264D"/>
      </top>
      <bottom style="medium">
        <color rgb="FF1D264D"/>
      </bottom>
      <diagonal/>
    </border>
    <border>
      <left style="thin">
        <color rgb="FF1D264D"/>
      </left>
      <right style="medium">
        <color rgb="FF1D264D"/>
      </right>
      <top style="thin">
        <color rgb="FF1D264D"/>
      </top>
      <bottom style="medium">
        <color rgb="FF1D264D"/>
      </bottom>
      <diagonal/>
    </border>
    <border>
      <left style="thin">
        <color rgb="FF1D264D"/>
      </left>
      <right style="thin">
        <color rgb="FF1D264D"/>
      </right>
      <top/>
      <bottom style="thin">
        <color rgb="FF1D264D"/>
      </bottom>
      <diagonal/>
    </border>
    <border>
      <left style="medium">
        <color rgb="FF1D264D"/>
      </left>
      <right style="thin">
        <color rgb="FF1D264D"/>
      </right>
      <top style="thin">
        <color rgb="FF1D264D"/>
      </top>
      <bottom style="thin">
        <color rgb="FF1D264D"/>
      </bottom>
      <diagonal/>
    </border>
    <border>
      <left style="thin">
        <color rgb="FF1D264D"/>
      </left>
      <right style="medium">
        <color rgb="FF1D264D"/>
      </right>
      <top style="thin">
        <color rgb="FF1D264D"/>
      </top>
      <bottom style="thin">
        <color rgb="FF1D264D"/>
      </bottom>
      <diagonal/>
    </border>
    <border>
      <left style="medium">
        <color rgb="FF1D264D"/>
      </left>
      <right style="thin">
        <color rgb="FF1D264D"/>
      </right>
      <top/>
      <bottom style="thin">
        <color rgb="FF1D264D"/>
      </bottom>
      <diagonal/>
    </border>
    <border>
      <left style="thin">
        <color rgb="FF1D264D"/>
      </left>
      <right style="medium">
        <color rgb="FF1D264D"/>
      </right>
      <top/>
      <bottom style="thin">
        <color rgb="FF1D264D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1D264D"/>
      </left>
      <right style="thin">
        <color rgb="FF1D264D"/>
      </right>
      <top style="thin">
        <color rgb="FF1D264D"/>
      </top>
      <bottom/>
      <diagonal/>
    </border>
    <border>
      <left style="thin">
        <color rgb="FF1D264D"/>
      </left>
      <right style="medium">
        <color rgb="FF1D264D"/>
      </right>
      <top style="thin">
        <color rgb="FF1D264D"/>
      </top>
      <bottom/>
      <diagonal/>
    </border>
    <border>
      <left style="medium">
        <color indexed="64"/>
      </left>
      <right style="thin">
        <color rgb="FF1D264D"/>
      </right>
      <top style="medium">
        <color indexed="64"/>
      </top>
      <bottom style="thin">
        <color rgb="FF1D264D"/>
      </bottom>
      <diagonal/>
    </border>
    <border>
      <left style="thin">
        <color rgb="FF1D264D"/>
      </left>
      <right style="thin">
        <color rgb="FF1D264D"/>
      </right>
      <top style="medium">
        <color indexed="64"/>
      </top>
      <bottom style="thin">
        <color rgb="FF1D264D"/>
      </bottom>
      <diagonal/>
    </border>
    <border>
      <left style="thin">
        <color rgb="FF1D264D"/>
      </left>
      <right style="medium">
        <color indexed="64"/>
      </right>
      <top style="medium">
        <color indexed="64"/>
      </top>
      <bottom style="thin">
        <color rgb="FF1D264D"/>
      </bottom>
      <diagonal/>
    </border>
    <border>
      <left style="medium">
        <color indexed="64"/>
      </left>
      <right style="thin">
        <color rgb="FF1D264D"/>
      </right>
      <top/>
      <bottom style="thin">
        <color rgb="FF1D264D"/>
      </bottom>
      <diagonal/>
    </border>
    <border>
      <left style="thin">
        <color rgb="FF1D264D"/>
      </left>
      <right style="medium">
        <color indexed="64"/>
      </right>
      <top style="thin">
        <color rgb="FF1D264D"/>
      </top>
      <bottom style="thin">
        <color rgb="FF1D264D"/>
      </bottom>
      <diagonal/>
    </border>
    <border>
      <left style="medium">
        <color indexed="64"/>
      </left>
      <right style="thin">
        <color rgb="FF1D264D"/>
      </right>
      <top/>
      <bottom style="medium">
        <color indexed="64"/>
      </bottom>
      <diagonal/>
    </border>
    <border>
      <left style="thin">
        <color rgb="FF1D264D"/>
      </left>
      <right style="thin">
        <color rgb="FF1D264D"/>
      </right>
      <top style="thin">
        <color rgb="FF1D264D"/>
      </top>
      <bottom style="medium">
        <color indexed="64"/>
      </bottom>
      <diagonal/>
    </border>
    <border>
      <left style="thin">
        <color rgb="FF1D264D"/>
      </left>
      <right style="medium">
        <color indexed="64"/>
      </right>
      <top style="thin">
        <color rgb="FF1D264D"/>
      </top>
      <bottom style="medium">
        <color indexed="64"/>
      </bottom>
      <diagonal/>
    </border>
    <border>
      <left/>
      <right style="thin">
        <color rgb="FF1D264D"/>
      </right>
      <top style="thin">
        <color rgb="FF1D264D"/>
      </top>
      <bottom style="thin">
        <color rgb="FF1D264D"/>
      </bottom>
      <diagonal/>
    </border>
    <border>
      <left style="medium">
        <color indexed="64"/>
      </left>
      <right style="thin">
        <color rgb="FF1D264D"/>
      </right>
      <top style="medium">
        <color indexed="64"/>
      </top>
      <bottom style="medium">
        <color indexed="64"/>
      </bottom>
      <diagonal/>
    </border>
    <border>
      <left style="thin">
        <color rgb="FF1D264D"/>
      </left>
      <right style="thin">
        <color rgb="FF1D264D"/>
      </right>
      <top style="medium">
        <color indexed="64"/>
      </top>
      <bottom style="medium">
        <color indexed="64"/>
      </bottom>
      <diagonal/>
    </border>
    <border>
      <left style="thin">
        <color rgb="FF1D264D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1D264D"/>
      </left>
      <right/>
      <top style="thin">
        <color rgb="FF1D264D"/>
      </top>
      <bottom style="thin">
        <color rgb="FF1D264D"/>
      </bottom>
      <diagonal/>
    </border>
    <border>
      <left/>
      <right/>
      <top style="thin">
        <color rgb="FF1D264D"/>
      </top>
      <bottom style="thin">
        <color rgb="FF1D264D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42">
    <xf numFmtId="0" fontId="0" fillId="0" borderId="0" xfId="0"/>
    <xf numFmtId="0" fontId="5" fillId="4" borderId="0" xfId="0" applyFont="1" applyFill="1" applyAlignment="1">
      <alignment vertical="center"/>
    </xf>
    <xf numFmtId="0" fontId="3" fillId="0" borderId="1" xfId="0" applyFont="1" applyBorder="1" applyAlignment="1">
      <alignment horizontal="right" vertical="center"/>
    </xf>
    <xf numFmtId="0" fontId="0" fillId="0" borderId="0" xfId="0" applyAlignment="1">
      <alignment vertical="center"/>
    </xf>
    <xf numFmtId="9" fontId="0" fillId="0" borderId="0" xfId="2" applyFont="1"/>
    <xf numFmtId="0" fontId="10" fillId="0" borderId="0" xfId="0" applyFont="1"/>
    <xf numFmtId="44" fontId="0" fillId="0" borderId="0" xfId="0" applyNumberFormat="1" applyAlignment="1">
      <alignment vertical="center"/>
    </xf>
    <xf numFmtId="44" fontId="3" fillId="5" borderId="0" xfId="0" applyNumberFormat="1" applyFont="1" applyFill="1" applyBorder="1" applyAlignment="1">
      <alignment horizontal="center"/>
    </xf>
    <xf numFmtId="0" fontId="3" fillId="5" borderId="0" xfId="0" applyFont="1" applyFill="1" applyBorder="1" applyAlignment="1">
      <alignment horizontal="center"/>
    </xf>
    <xf numFmtId="44" fontId="0" fillId="0" borderId="0" xfId="1" applyFont="1"/>
    <xf numFmtId="10" fontId="0" fillId="0" borderId="0" xfId="2" applyNumberFormat="1" applyFont="1"/>
    <xf numFmtId="0" fontId="0" fillId="0" borderId="11" xfId="0" applyBorder="1"/>
    <xf numFmtId="44" fontId="0" fillId="0" borderId="11" xfId="1" applyFont="1" applyBorder="1"/>
    <xf numFmtId="0" fontId="0" fillId="0" borderId="0" xfId="0" applyNumberFormat="1"/>
    <xf numFmtId="0" fontId="0" fillId="0" borderId="27" xfId="0" applyBorder="1"/>
    <xf numFmtId="0" fontId="0" fillId="0" borderId="21" xfId="0" applyBorder="1"/>
    <xf numFmtId="0" fontId="0" fillId="0" borderId="22" xfId="0" applyBorder="1"/>
    <xf numFmtId="44" fontId="0" fillId="0" borderId="23" xfId="1" applyFont="1" applyBorder="1"/>
    <xf numFmtId="0" fontId="0" fillId="0" borderId="28" xfId="0" applyBorder="1"/>
    <xf numFmtId="44" fontId="0" fillId="0" borderId="29" xfId="1" applyFont="1" applyBorder="1"/>
    <xf numFmtId="0" fontId="0" fillId="0" borderId="24" xfId="0" applyBorder="1"/>
    <xf numFmtId="0" fontId="0" fillId="0" borderId="25" xfId="0" applyBorder="1"/>
    <xf numFmtId="44" fontId="0" fillId="0" borderId="26" xfId="1" applyFont="1" applyBorder="1"/>
    <xf numFmtId="0" fontId="0" fillId="0" borderId="30" xfId="0" applyBorder="1"/>
    <xf numFmtId="44" fontId="0" fillId="0" borderId="31" xfId="1" applyFont="1" applyBorder="1"/>
    <xf numFmtId="44" fontId="0" fillId="0" borderId="0" xfId="1" applyFont="1" applyFill="1" applyBorder="1"/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/>
    <xf numFmtId="0" fontId="0" fillId="0" borderId="0" xfId="0" applyProtection="1">
      <protection hidden="1"/>
    </xf>
    <xf numFmtId="0" fontId="0" fillId="0" borderId="32" xfId="0" applyBorder="1" applyProtection="1">
      <protection hidden="1"/>
    </xf>
    <xf numFmtId="0" fontId="0" fillId="0" borderId="33" xfId="0" applyBorder="1" applyProtection="1">
      <protection hidden="1"/>
    </xf>
    <xf numFmtId="0" fontId="0" fillId="0" borderId="34" xfId="0" applyBorder="1" applyProtection="1">
      <protection hidden="1"/>
    </xf>
    <xf numFmtId="0" fontId="0" fillId="0" borderId="35" xfId="0" applyBorder="1" applyProtection="1">
      <protection hidden="1"/>
    </xf>
    <xf numFmtId="0" fontId="5" fillId="4" borderId="12" xfId="0" applyFont="1" applyFill="1" applyBorder="1" applyAlignment="1" applyProtection="1">
      <alignment vertical="center"/>
      <protection hidden="1"/>
    </xf>
    <xf numFmtId="0" fontId="5" fillId="4" borderId="13" xfId="0" applyFont="1" applyFill="1" applyBorder="1" applyAlignment="1" applyProtection="1">
      <alignment vertical="center"/>
      <protection hidden="1"/>
    </xf>
    <xf numFmtId="0" fontId="5" fillId="4" borderId="14" xfId="0" applyFont="1" applyFill="1" applyBorder="1" applyAlignment="1" applyProtection="1">
      <alignment vertical="center"/>
      <protection hidden="1"/>
    </xf>
    <xf numFmtId="0" fontId="0" fillId="0" borderId="36" xfId="0" applyBorder="1" applyProtection="1">
      <protection hidden="1"/>
    </xf>
    <xf numFmtId="0" fontId="5" fillId="4" borderId="15" xfId="0" applyFont="1" applyFill="1" applyBorder="1" applyAlignment="1" applyProtection="1">
      <alignment vertical="center"/>
      <protection hidden="1"/>
    </xf>
    <xf numFmtId="0" fontId="5" fillId="4" borderId="0" xfId="0" applyFont="1" applyFill="1" applyBorder="1" applyAlignment="1" applyProtection="1">
      <alignment vertical="center"/>
      <protection hidden="1"/>
    </xf>
    <xf numFmtId="0" fontId="5" fillId="4" borderId="16" xfId="0" applyFont="1" applyFill="1" applyBorder="1" applyAlignment="1" applyProtection="1">
      <alignment vertical="center"/>
      <protection hidden="1"/>
    </xf>
    <xf numFmtId="0" fontId="5" fillId="4" borderId="17" xfId="0" applyFont="1" applyFill="1" applyBorder="1" applyAlignment="1" applyProtection="1">
      <alignment vertical="center"/>
      <protection hidden="1"/>
    </xf>
    <xf numFmtId="0" fontId="5" fillId="4" borderId="18" xfId="0" applyFont="1" applyFill="1" applyBorder="1" applyAlignment="1" applyProtection="1">
      <alignment vertical="center"/>
      <protection hidden="1"/>
    </xf>
    <xf numFmtId="0" fontId="0" fillId="0" borderId="0" xfId="0" applyBorder="1" applyProtection="1">
      <protection hidden="1"/>
    </xf>
    <xf numFmtId="0" fontId="10" fillId="0" borderId="0" xfId="0" applyFont="1" applyProtection="1">
      <protection hidden="1"/>
    </xf>
    <xf numFmtId="44" fontId="0" fillId="0" borderId="0" xfId="1" applyFont="1" applyProtection="1">
      <protection hidden="1"/>
    </xf>
    <xf numFmtId="0" fontId="0" fillId="0" borderId="35" xfId="0" applyBorder="1" applyAlignment="1" applyProtection="1">
      <alignment vertical="center"/>
      <protection hidden="1"/>
    </xf>
    <xf numFmtId="0" fontId="0" fillId="0" borderId="36" xfId="0" applyBorder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44" fontId="0" fillId="0" borderId="0" xfId="0" applyNumberFormat="1" applyAlignment="1" applyProtection="1">
      <alignment vertical="center"/>
      <protection hidden="1"/>
    </xf>
    <xf numFmtId="44" fontId="0" fillId="0" borderId="0" xfId="1" applyFont="1" applyAlignment="1" applyProtection="1">
      <alignment vertical="center"/>
      <protection hidden="1"/>
    </xf>
    <xf numFmtId="2" fontId="0" fillId="0" borderId="0" xfId="0" applyNumberFormat="1" applyProtection="1">
      <protection hidden="1"/>
    </xf>
    <xf numFmtId="44" fontId="3" fillId="5" borderId="0" xfId="0" applyNumberFormat="1" applyFont="1" applyFill="1" applyBorder="1" applyAlignment="1" applyProtection="1">
      <alignment horizontal="center"/>
      <protection hidden="1"/>
    </xf>
    <xf numFmtId="0" fontId="3" fillId="5" borderId="0" xfId="0" applyFont="1" applyFill="1" applyBorder="1" applyAlignment="1" applyProtection="1">
      <alignment horizontal="center"/>
      <protection hidden="1"/>
    </xf>
    <xf numFmtId="0" fontId="12" fillId="0" borderId="35" xfId="0" applyFont="1" applyBorder="1" applyAlignment="1" applyProtection="1">
      <alignment vertical="center"/>
      <protection hidden="1"/>
    </xf>
    <xf numFmtId="0" fontId="12" fillId="0" borderId="0" xfId="0" applyFont="1" applyBorder="1" applyAlignment="1" applyProtection="1">
      <alignment vertical="center"/>
      <protection hidden="1"/>
    </xf>
    <xf numFmtId="0" fontId="12" fillId="0" borderId="36" xfId="0" applyFont="1" applyBorder="1" applyAlignment="1" applyProtection="1">
      <alignment vertical="center"/>
      <protection hidden="1"/>
    </xf>
    <xf numFmtId="0" fontId="12" fillId="0" borderId="0" xfId="0" applyFont="1" applyAlignment="1" applyProtection="1">
      <alignment vertical="center"/>
      <protection hidden="1"/>
    </xf>
    <xf numFmtId="0" fontId="3" fillId="0" borderId="1" xfId="0" applyFont="1" applyBorder="1" applyAlignment="1" applyProtection="1">
      <alignment horizontal="right" vertical="center"/>
      <protection hidden="1"/>
    </xf>
    <xf numFmtId="9" fontId="0" fillId="0" borderId="0" xfId="2" applyFont="1" applyProtection="1">
      <protection hidden="1"/>
    </xf>
    <xf numFmtId="0" fontId="3" fillId="0" borderId="1" xfId="0" applyFont="1" applyBorder="1" applyAlignment="1" applyProtection="1">
      <alignment horizontal="right" vertical="center" wrapText="1"/>
      <protection hidden="1"/>
    </xf>
    <xf numFmtId="0" fontId="0" fillId="0" borderId="37" xfId="0" applyBorder="1" applyProtection="1">
      <protection hidden="1"/>
    </xf>
    <xf numFmtId="0" fontId="0" fillId="0" borderId="38" xfId="0" applyBorder="1" applyProtection="1">
      <protection hidden="1"/>
    </xf>
    <xf numFmtId="0" fontId="0" fillId="0" borderId="39" xfId="0" applyBorder="1" applyProtection="1">
      <protection hidden="1"/>
    </xf>
    <xf numFmtId="0" fontId="0" fillId="0" borderId="0" xfId="0" applyBorder="1" applyAlignment="1" applyProtection="1">
      <alignment vertical="center"/>
      <protection hidden="1"/>
    </xf>
    <xf numFmtId="0" fontId="23" fillId="6" borderId="0" xfId="0" applyFont="1" applyFill="1"/>
    <xf numFmtId="0" fontId="0" fillId="0" borderId="0" xfId="0" applyBorder="1"/>
    <xf numFmtId="44" fontId="0" fillId="0" borderId="0" xfId="1" applyFont="1" applyBorder="1"/>
    <xf numFmtId="0" fontId="0" fillId="0" borderId="40" xfId="0" applyBorder="1"/>
    <xf numFmtId="0" fontId="0" fillId="0" borderId="20" xfId="0" applyBorder="1"/>
    <xf numFmtId="44" fontId="0" fillId="0" borderId="41" xfId="1" applyFont="1" applyBorder="1"/>
    <xf numFmtId="0" fontId="0" fillId="0" borderId="42" xfId="0" applyBorder="1"/>
    <xf numFmtId="0" fontId="0" fillId="0" borderId="43" xfId="0" applyBorder="1"/>
    <xf numFmtId="44" fontId="0" fillId="0" borderId="44" xfId="1" applyFont="1" applyBorder="1"/>
    <xf numFmtId="0" fontId="0" fillId="0" borderId="45" xfId="0" applyBorder="1"/>
    <xf numFmtId="44" fontId="0" fillId="0" borderId="46" xfId="1" applyFont="1" applyBorder="1"/>
    <xf numFmtId="0" fontId="0" fillId="0" borderId="47" xfId="0" applyBorder="1"/>
    <xf numFmtId="0" fontId="0" fillId="0" borderId="48" xfId="0" applyBorder="1"/>
    <xf numFmtId="44" fontId="0" fillId="0" borderId="49" xfId="1" applyFont="1" applyBorder="1"/>
    <xf numFmtId="44" fontId="0" fillId="0" borderId="0" xfId="0" applyNumberFormat="1" applyProtection="1">
      <protection hidden="1"/>
    </xf>
    <xf numFmtId="0" fontId="24" fillId="0" borderId="0" xfId="0" applyFont="1" applyAlignment="1" applyProtection="1">
      <alignment vertical="center"/>
      <protection hidden="1"/>
    </xf>
    <xf numFmtId="9" fontId="0" fillId="0" borderId="0" xfId="2" applyFont="1" applyAlignment="1" applyProtection="1">
      <alignment vertical="center"/>
      <protection hidden="1"/>
    </xf>
    <xf numFmtId="0" fontId="25" fillId="0" borderId="1" xfId="0" applyFont="1" applyBorder="1" applyAlignment="1" applyProtection="1">
      <alignment horizontal="right" vertical="center"/>
      <protection hidden="1"/>
    </xf>
    <xf numFmtId="0" fontId="0" fillId="5" borderId="0" xfId="0" applyFill="1" applyBorder="1" applyAlignment="1" applyProtection="1">
      <alignment vertical="center"/>
      <protection hidden="1"/>
    </xf>
    <xf numFmtId="0" fontId="4" fillId="0" borderId="0" xfId="0" applyFont="1" applyBorder="1" applyProtection="1">
      <protection hidden="1"/>
    </xf>
    <xf numFmtId="0" fontId="27" fillId="6" borderId="0" xfId="0" applyFont="1" applyFill="1" applyProtection="1">
      <protection hidden="1"/>
    </xf>
    <xf numFmtId="0" fontId="5" fillId="4" borderId="0" xfId="0" applyFont="1" applyFill="1" applyAlignment="1">
      <alignment horizontal="center" vertical="center"/>
    </xf>
    <xf numFmtId="0" fontId="8" fillId="4" borderId="0" xfId="0" applyFont="1" applyFill="1" applyAlignment="1">
      <alignment horizontal="right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44" fontId="0" fillId="0" borderId="2" xfId="1" applyFont="1" applyBorder="1" applyAlignment="1">
      <alignment horizontal="center" vertical="center"/>
    </xf>
    <xf numFmtId="44" fontId="0" fillId="0" borderId="3" xfId="1" applyFont="1" applyBorder="1" applyAlignment="1">
      <alignment horizontal="center" vertical="center"/>
    </xf>
    <xf numFmtId="44" fontId="0" fillId="0" borderId="4" xfId="1" applyFon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44" fontId="0" fillId="0" borderId="2" xfId="0" applyNumberFormat="1" applyBorder="1" applyAlignment="1">
      <alignment horizontal="center" vertical="center"/>
    </xf>
    <xf numFmtId="44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44" fontId="2" fillId="4" borderId="2" xfId="0" applyNumberFormat="1" applyFont="1" applyFill="1" applyBorder="1" applyAlignment="1">
      <alignment horizontal="center"/>
    </xf>
    <xf numFmtId="44" fontId="2" fillId="4" borderId="3" xfId="0" applyNumberFormat="1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44" fontId="11" fillId="3" borderId="8" xfId="0" applyNumberFormat="1" applyFont="1" applyFill="1" applyBorder="1" applyAlignment="1">
      <alignment horizontal="center" vertical="center"/>
    </xf>
    <xf numFmtId="44" fontId="11" fillId="3" borderId="7" xfId="0" applyNumberFormat="1" applyFont="1" applyFill="1" applyBorder="1" applyAlignment="1">
      <alignment horizontal="center" vertical="center"/>
    </xf>
    <xf numFmtId="44" fontId="11" fillId="3" borderId="9" xfId="0" applyNumberFormat="1" applyFont="1" applyFill="1" applyBorder="1" applyAlignment="1">
      <alignment horizontal="center" vertical="center"/>
    </xf>
    <xf numFmtId="44" fontId="11" fillId="3" borderId="10" xfId="0" applyNumberFormat="1" applyFont="1" applyFill="1" applyBorder="1" applyAlignment="1">
      <alignment horizontal="center" vertical="center"/>
    </xf>
    <xf numFmtId="44" fontId="11" fillId="3" borderId="5" xfId="0" applyNumberFormat="1" applyFont="1" applyFill="1" applyBorder="1" applyAlignment="1">
      <alignment horizontal="center" vertical="center"/>
    </xf>
    <xf numFmtId="44" fontId="11" fillId="3" borderId="6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right"/>
    </xf>
    <xf numFmtId="0" fontId="4" fillId="2" borderId="3" xfId="0" applyFont="1" applyFill="1" applyBorder="1" applyAlignment="1">
      <alignment horizontal="right"/>
    </xf>
    <xf numFmtId="0" fontId="4" fillId="2" borderId="4" xfId="0" applyFont="1" applyFill="1" applyBorder="1" applyAlignment="1">
      <alignment horizontal="right"/>
    </xf>
    <xf numFmtId="0" fontId="4" fillId="4" borderId="2" xfId="0" applyFont="1" applyFill="1" applyBorder="1" applyAlignment="1">
      <alignment horizontal="right"/>
    </xf>
    <xf numFmtId="0" fontId="4" fillId="4" borderId="3" xfId="0" applyFont="1" applyFill="1" applyBorder="1" applyAlignment="1">
      <alignment horizontal="right"/>
    </xf>
    <xf numFmtId="0" fontId="4" fillId="4" borderId="4" xfId="0" applyFont="1" applyFill="1" applyBorder="1" applyAlignment="1">
      <alignment horizontal="right"/>
    </xf>
    <xf numFmtId="0" fontId="7" fillId="3" borderId="8" xfId="0" applyFont="1" applyFill="1" applyBorder="1" applyAlignment="1">
      <alignment horizontal="center" wrapText="1"/>
    </xf>
    <xf numFmtId="0" fontId="7" fillId="3" borderId="7" xfId="0" applyFont="1" applyFill="1" applyBorder="1" applyAlignment="1">
      <alignment horizontal="center" wrapText="1"/>
    </xf>
    <xf numFmtId="0" fontId="7" fillId="3" borderId="9" xfId="0" applyFont="1" applyFill="1" applyBorder="1" applyAlignment="1">
      <alignment horizontal="center" wrapText="1"/>
    </xf>
    <xf numFmtId="0" fontId="7" fillId="3" borderId="10" xfId="0" applyFont="1" applyFill="1" applyBorder="1" applyAlignment="1">
      <alignment horizontal="center" wrapText="1"/>
    </xf>
    <xf numFmtId="0" fontId="7" fillId="3" borderId="5" xfId="0" applyFont="1" applyFill="1" applyBorder="1" applyAlignment="1">
      <alignment horizontal="center" wrapText="1"/>
    </xf>
    <xf numFmtId="0" fontId="7" fillId="3" borderId="6" xfId="0" applyFont="1" applyFill="1" applyBorder="1" applyAlignment="1">
      <alignment horizontal="center" wrapText="1"/>
    </xf>
    <xf numFmtId="44" fontId="2" fillId="2" borderId="2" xfId="0" applyNumberFormat="1" applyFont="1" applyFill="1" applyBorder="1" applyAlignment="1">
      <alignment horizontal="center"/>
    </xf>
    <xf numFmtId="44" fontId="2" fillId="2" borderId="3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13" fillId="3" borderId="51" xfId="0" applyFont="1" applyFill="1" applyBorder="1" applyAlignment="1" applyProtection="1">
      <alignment horizontal="center" vertical="center"/>
      <protection hidden="1"/>
    </xf>
    <xf numFmtId="0" fontId="13" fillId="3" borderId="52" xfId="0" applyFont="1" applyFill="1" applyBorder="1" applyAlignment="1" applyProtection="1">
      <alignment horizontal="center" vertical="center"/>
      <protection hidden="1"/>
    </xf>
    <xf numFmtId="44" fontId="2" fillId="3" borderId="52" xfId="0" applyNumberFormat="1" applyFont="1" applyFill="1" applyBorder="1" applyAlignment="1" applyProtection="1">
      <alignment horizontal="center" vertical="center"/>
      <protection hidden="1"/>
    </xf>
    <xf numFmtId="0" fontId="2" fillId="3" borderId="52" xfId="0" applyFont="1" applyFill="1" applyBorder="1" applyAlignment="1" applyProtection="1">
      <alignment horizontal="center" vertical="center"/>
      <protection hidden="1"/>
    </xf>
    <xf numFmtId="0" fontId="2" fillId="3" borderId="53" xfId="0" applyFont="1" applyFill="1" applyBorder="1" applyAlignment="1" applyProtection="1">
      <alignment horizontal="center" vertical="center"/>
      <protection hidden="1"/>
    </xf>
    <xf numFmtId="44" fontId="0" fillId="0" borderId="3" xfId="1" applyFont="1" applyBorder="1" applyAlignment="1" applyProtection="1">
      <alignment horizontal="center" vertical="center"/>
      <protection hidden="1"/>
    </xf>
    <xf numFmtId="44" fontId="0" fillId="0" borderId="4" xfId="1" applyFont="1" applyBorder="1" applyAlignment="1" applyProtection="1">
      <alignment horizontal="center" vertical="center"/>
      <protection hidden="1"/>
    </xf>
    <xf numFmtId="44" fontId="0" fillId="0" borderId="2" xfId="1" applyFont="1" applyBorder="1" applyAlignment="1" applyProtection="1">
      <alignment horizontal="center" vertical="center"/>
      <protection hidden="1"/>
    </xf>
    <xf numFmtId="0" fontId="12" fillId="0" borderId="11" xfId="0" applyFont="1" applyBorder="1" applyAlignment="1" applyProtection="1">
      <alignment horizontal="left" vertical="center" wrapText="1"/>
      <protection hidden="1"/>
    </xf>
    <xf numFmtId="0" fontId="0" fillId="0" borderId="11" xfId="0" applyBorder="1" applyAlignment="1" applyProtection="1">
      <alignment horizontal="center" vertical="center"/>
      <protection locked="0" hidden="1"/>
    </xf>
    <xf numFmtId="0" fontId="26" fillId="0" borderId="11" xfId="0" applyFont="1" applyBorder="1" applyAlignment="1" applyProtection="1">
      <alignment horizontal="center" vertical="center" wrapText="1"/>
      <protection hidden="1"/>
    </xf>
    <xf numFmtId="44" fontId="0" fillId="0" borderId="11" xfId="1" applyFont="1" applyBorder="1" applyAlignment="1" applyProtection="1">
      <alignment horizontal="center" vertical="center"/>
      <protection hidden="1"/>
    </xf>
    <xf numFmtId="0" fontId="12" fillId="5" borderId="11" xfId="0" applyFont="1" applyFill="1" applyBorder="1" applyAlignment="1" applyProtection="1">
      <alignment horizontal="left" vertical="center" wrapText="1"/>
      <protection hidden="1"/>
    </xf>
    <xf numFmtId="0" fontId="21" fillId="0" borderId="11" xfId="0" applyFont="1" applyBorder="1" applyAlignment="1" applyProtection="1">
      <alignment horizontal="center" vertical="center" wrapText="1"/>
      <protection hidden="1"/>
    </xf>
    <xf numFmtId="0" fontId="0" fillId="0" borderId="11" xfId="0" applyBorder="1" applyAlignment="1" applyProtection="1">
      <alignment horizontal="center" vertical="center"/>
      <protection hidden="1"/>
    </xf>
    <xf numFmtId="0" fontId="0" fillId="0" borderId="54" xfId="0" applyBorder="1" applyAlignment="1" applyProtection="1">
      <alignment horizontal="center" vertical="center"/>
      <protection locked="0" hidden="1"/>
    </xf>
    <xf numFmtId="0" fontId="0" fillId="0" borderId="55" xfId="0" applyBorder="1" applyAlignment="1" applyProtection="1">
      <alignment horizontal="center" vertical="center"/>
      <protection locked="0" hidden="1"/>
    </xf>
    <xf numFmtId="0" fontId="0" fillId="0" borderId="50" xfId="0" applyBorder="1" applyAlignment="1" applyProtection="1">
      <alignment horizontal="center" vertical="center"/>
      <protection locked="0" hidden="1"/>
    </xf>
    <xf numFmtId="44" fontId="0" fillId="0" borderId="0" xfId="1" applyFont="1" applyAlignment="1" applyProtection="1">
      <alignment horizontal="center"/>
      <protection hidden="1"/>
    </xf>
    <xf numFmtId="0" fontId="22" fillId="0" borderId="0" xfId="0" applyFont="1" applyBorder="1" applyAlignment="1" applyProtection="1">
      <alignment horizontal="center"/>
      <protection hidden="1"/>
    </xf>
    <xf numFmtId="0" fontId="0" fillId="0" borderId="2" xfId="0" applyBorder="1" applyAlignment="1" applyProtection="1">
      <alignment horizontal="justify" vertical="distributed" wrapText="1"/>
      <protection hidden="1"/>
    </xf>
    <xf numFmtId="0" fontId="0" fillId="0" borderId="3" xfId="0" applyBorder="1" applyAlignment="1" applyProtection="1">
      <alignment horizontal="justify" vertical="distributed" wrapText="1"/>
      <protection hidden="1"/>
    </xf>
    <xf numFmtId="0" fontId="0" fillId="0" borderId="4" xfId="0" applyBorder="1" applyAlignment="1" applyProtection="1">
      <alignment horizontal="justify" vertical="distributed" wrapText="1"/>
      <protection hidden="1"/>
    </xf>
    <xf numFmtId="0" fontId="0" fillId="5" borderId="2" xfId="0" applyFill="1" applyBorder="1" applyAlignment="1" applyProtection="1">
      <alignment horizontal="justify" vertical="distributed" wrapText="1"/>
      <protection hidden="1"/>
    </xf>
    <xf numFmtId="0" fontId="0" fillId="5" borderId="3" xfId="0" applyFill="1" applyBorder="1" applyAlignment="1" applyProtection="1">
      <alignment horizontal="justify" vertical="distributed" wrapText="1"/>
      <protection hidden="1"/>
    </xf>
    <xf numFmtId="0" fontId="0" fillId="5" borderId="4" xfId="0" applyFill="1" applyBorder="1" applyAlignment="1" applyProtection="1">
      <alignment horizontal="justify" vertical="distributed" wrapText="1"/>
      <protection hidden="1"/>
    </xf>
    <xf numFmtId="0" fontId="25" fillId="0" borderId="2" xfId="0" applyFont="1" applyBorder="1" applyAlignment="1" applyProtection="1">
      <alignment horizontal="justify" vertical="distributed" wrapText="1"/>
      <protection hidden="1"/>
    </xf>
    <xf numFmtId="0" fontId="25" fillId="0" borderId="3" xfId="0" applyFont="1" applyBorder="1" applyAlignment="1" applyProtection="1">
      <alignment horizontal="justify" vertical="distributed" wrapText="1"/>
      <protection hidden="1"/>
    </xf>
    <xf numFmtId="0" fontId="25" fillId="0" borderId="4" xfId="0" applyFont="1" applyBorder="1" applyAlignment="1" applyProtection="1">
      <alignment horizontal="justify" vertical="distributed" wrapText="1"/>
      <protection hidden="1"/>
    </xf>
    <xf numFmtId="0" fontId="0" fillId="0" borderId="0" xfId="0" applyAlignment="1" applyProtection="1">
      <alignment horizontal="center"/>
      <protection hidden="1"/>
    </xf>
    <xf numFmtId="0" fontId="7" fillId="7" borderId="51" xfId="0" applyFont="1" applyFill="1" applyBorder="1" applyAlignment="1" applyProtection="1">
      <alignment horizontal="right" vertical="center"/>
      <protection hidden="1"/>
    </xf>
    <xf numFmtId="0" fontId="7" fillId="7" borderId="52" xfId="0" applyFont="1" applyFill="1" applyBorder="1" applyAlignment="1" applyProtection="1">
      <alignment horizontal="right" vertical="center"/>
      <protection hidden="1"/>
    </xf>
    <xf numFmtId="44" fontId="13" fillId="7" borderId="52" xfId="0" applyNumberFormat="1" applyFont="1" applyFill="1" applyBorder="1" applyAlignment="1" applyProtection="1">
      <alignment horizontal="center" vertical="center"/>
      <protection hidden="1"/>
    </xf>
    <xf numFmtId="0" fontId="13" fillId="7" borderId="52" xfId="0" applyFont="1" applyFill="1" applyBorder="1" applyAlignment="1" applyProtection="1">
      <alignment horizontal="center" vertical="center"/>
      <protection hidden="1"/>
    </xf>
    <xf numFmtId="0" fontId="13" fillId="7" borderId="53" xfId="0" applyFont="1" applyFill="1" applyBorder="1" applyAlignment="1" applyProtection="1">
      <alignment horizontal="center" vertical="center"/>
      <protection hidden="1"/>
    </xf>
    <xf numFmtId="0" fontId="13" fillId="3" borderId="21" xfId="0" applyFont="1" applyFill="1" applyBorder="1" applyAlignment="1" applyProtection="1">
      <alignment horizontal="center" wrapText="1"/>
      <protection hidden="1"/>
    </xf>
    <xf numFmtId="0" fontId="13" fillId="3" borderId="22" xfId="0" applyFont="1" applyFill="1" applyBorder="1" applyAlignment="1" applyProtection="1">
      <alignment horizontal="center" wrapText="1"/>
      <protection hidden="1"/>
    </xf>
    <xf numFmtId="0" fontId="13" fillId="3" borderId="24" xfId="0" applyFont="1" applyFill="1" applyBorder="1" applyAlignment="1" applyProtection="1">
      <alignment horizontal="center" wrapText="1"/>
      <protection hidden="1"/>
    </xf>
    <xf numFmtId="0" fontId="13" fillId="3" borderId="25" xfId="0" applyFont="1" applyFill="1" applyBorder="1" applyAlignment="1" applyProtection="1">
      <alignment horizontal="center" wrapText="1"/>
      <protection hidden="1"/>
    </xf>
    <xf numFmtId="44" fontId="11" fillId="3" borderId="22" xfId="0" applyNumberFormat="1" applyFont="1" applyFill="1" applyBorder="1" applyAlignment="1" applyProtection="1">
      <alignment horizontal="center" vertical="center" wrapText="1"/>
      <protection hidden="1"/>
    </xf>
    <xf numFmtId="44" fontId="11" fillId="3" borderId="23" xfId="0" applyNumberFormat="1" applyFont="1" applyFill="1" applyBorder="1" applyAlignment="1" applyProtection="1">
      <alignment horizontal="center" vertical="center" wrapText="1"/>
      <protection hidden="1"/>
    </xf>
    <xf numFmtId="44" fontId="11" fillId="3" borderId="25" xfId="0" applyNumberFormat="1" applyFont="1" applyFill="1" applyBorder="1" applyAlignment="1" applyProtection="1">
      <alignment horizontal="center" vertical="center" wrapText="1"/>
      <protection hidden="1"/>
    </xf>
    <xf numFmtId="44" fontId="11" fillId="3" borderId="26" xfId="0" applyNumberFormat="1" applyFont="1" applyFill="1" applyBorder="1" applyAlignment="1" applyProtection="1">
      <alignment horizontal="center" vertical="center" wrapText="1"/>
      <protection hidden="1"/>
    </xf>
    <xf numFmtId="0" fontId="17" fillId="0" borderId="11" xfId="0" applyFont="1" applyBorder="1" applyAlignment="1" applyProtection="1">
      <alignment horizontal="left" vertical="center" wrapText="1"/>
      <protection hidden="1"/>
    </xf>
    <xf numFmtId="0" fontId="3" fillId="0" borderId="11" xfId="0" applyFont="1" applyBorder="1" applyAlignment="1" applyProtection="1">
      <alignment horizontal="center" vertical="center" wrapText="1"/>
      <protection locked="0" hidden="1"/>
    </xf>
    <xf numFmtId="0" fontId="0" fillId="1" borderId="11" xfId="0" applyFill="1" applyBorder="1" applyAlignment="1" applyProtection="1">
      <alignment horizontal="center" vertical="center"/>
      <protection hidden="1"/>
    </xf>
    <xf numFmtId="44" fontId="0" fillId="1" borderId="11" xfId="1" applyFont="1" applyFill="1" applyBorder="1" applyAlignment="1" applyProtection="1">
      <alignment horizontal="center" vertical="center"/>
      <protection hidden="1"/>
    </xf>
    <xf numFmtId="0" fontId="9" fillId="0" borderId="2" xfId="0" applyFont="1" applyBorder="1" applyAlignment="1" applyProtection="1">
      <alignment horizontal="center"/>
      <protection hidden="1"/>
    </xf>
    <xf numFmtId="0" fontId="9" fillId="0" borderId="3" xfId="0" applyFont="1" applyBorder="1" applyAlignment="1" applyProtection="1">
      <alignment horizontal="center"/>
      <protection hidden="1"/>
    </xf>
    <xf numFmtId="0" fontId="9" fillId="0" borderId="4" xfId="0" applyFont="1" applyBorder="1" applyAlignment="1" applyProtection="1">
      <alignment horizontal="center"/>
      <protection hidden="1"/>
    </xf>
    <xf numFmtId="0" fontId="12" fillId="0" borderId="54" xfId="0" applyFont="1" applyBorder="1" applyAlignment="1" applyProtection="1">
      <alignment horizontal="left" vertical="center" wrapText="1"/>
      <protection hidden="1"/>
    </xf>
    <xf numFmtId="0" fontId="0" fillId="0" borderId="1" xfId="0" applyBorder="1" applyAlignment="1" applyProtection="1">
      <alignment horizontal="center" vertical="center"/>
      <protection locked="0" hidden="1"/>
    </xf>
    <xf numFmtId="0" fontId="0" fillId="0" borderId="1" xfId="0" applyBorder="1" applyAlignment="1" applyProtection="1">
      <alignment horizontal="center" vertical="center"/>
      <protection hidden="1"/>
    </xf>
    <xf numFmtId="44" fontId="0" fillId="0" borderId="1" xfId="1" applyFont="1" applyBorder="1" applyAlignment="1" applyProtection="1">
      <alignment horizontal="center" vertical="center"/>
      <protection hidden="1"/>
    </xf>
    <xf numFmtId="0" fontId="20" fillId="4" borderId="13" xfId="0" applyFont="1" applyFill="1" applyBorder="1" applyAlignment="1" applyProtection="1">
      <alignment horizontal="center" vertical="center"/>
      <protection hidden="1"/>
    </xf>
    <xf numFmtId="0" fontId="20" fillId="4" borderId="0" xfId="0" applyFont="1" applyFill="1" applyBorder="1" applyAlignment="1" applyProtection="1">
      <alignment horizontal="center" vertical="center"/>
      <protection hidden="1"/>
    </xf>
    <xf numFmtId="0" fontId="20" fillId="4" borderId="18" xfId="0" applyFont="1" applyFill="1" applyBorder="1" applyAlignment="1" applyProtection="1">
      <alignment horizontal="center" vertical="center"/>
      <protection hidden="1"/>
    </xf>
    <xf numFmtId="0" fontId="8" fillId="4" borderId="18" xfId="0" applyFont="1" applyFill="1" applyBorder="1" applyAlignment="1" applyProtection="1">
      <alignment horizontal="right" vertical="center"/>
      <protection hidden="1"/>
    </xf>
    <xf numFmtId="0" fontId="8" fillId="4" borderId="19" xfId="0" applyFont="1" applyFill="1" applyBorder="1" applyAlignment="1" applyProtection="1">
      <alignment horizontal="right" vertical="center"/>
      <protection hidden="1"/>
    </xf>
    <xf numFmtId="0" fontId="13" fillId="7" borderId="56" xfId="0" applyFont="1" applyFill="1" applyBorder="1" applyAlignment="1" applyProtection="1">
      <alignment horizontal="center" vertical="center"/>
      <protection hidden="1"/>
    </xf>
    <xf numFmtId="0" fontId="13" fillId="7" borderId="57" xfId="0" applyFont="1" applyFill="1" applyBorder="1" applyAlignment="1" applyProtection="1">
      <alignment horizontal="center" vertical="center"/>
      <protection hidden="1"/>
    </xf>
    <xf numFmtId="0" fontId="13" fillId="7" borderId="59" xfId="0" applyFont="1" applyFill="1" applyBorder="1" applyAlignment="1" applyProtection="1">
      <alignment horizontal="center" vertical="center"/>
      <protection hidden="1"/>
    </xf>
    <xf numFmtId="0" fontId="13" fillId="7" borderId="1" xfId="0" applyFont="1" applyFill="1" applyBorder="1" applyAlignment="1" applyProtection="1">
      <alignment horizontal="center" vertical="center"/>
      <protection hidden="1"/>
    </xf>
    <xf numFmtId="0" fontId="13" fillId="7" borderId="61" xfId="0" applyFont="1" applyFill="1" applyBorder="1" applyAlignment="1" applyProtection="1">
      <alignment horizontal="center" vertical="center"/>
      <protection hidden="1"/>
    </xf>
    <xf numFmtId="0" fontId="13" fillId="7" borderId="62" xfId="0" applyFont="1" applyFill="1" applyBorder="1" applyAlignment="1" applyProtection="1">
      <alignment horizontal="center" vertical="center"/>
      <protection hidden="1"/>
    </xf>
    <xf numFmtId="0" fontId="2" fillId="3" borderId="57" xfId="0" applyFont="1" applyFill="1" applyBorder="1" applyAlignment="1" applyProtection="1">
      <alignment horizontal="center" vertical="center" wrapText="1"/>
      <protection hidden="1"/>
    </xf>
    <xf numFmtId="0" fontId="2" fillId="3" borderId="58" xfId="0" applyFont="1" applyFill="1" applyBorder="1" applyAlignment="1" applyProtection="1">
      <alignment horizontal="center" vertical="center" wrapText="1"/>
      <protection hidden="1"/>
    </xf>
    <xf numFmtId="0" fontId="2" fillId="3" borderId="1" xfId="0" applyFont="1" applyFill="1" applyBorder="1" applyAlignment="1" applyProtection="1">
      <alignment horizontal="center" vertical="center" wrapText="1"/>
      <protection hidden="1"/>
    </xf>
    <xf numFmtId="0" fontId="2" fillId="3" borderId="60" xfId="0" applyFont="1" applyFill="1" applyBorder="1" applyAlignment="1" applyProtection="1">
      <alignment horizontal="center" vertical="center" wrapText="1"/>
      <protection hidden="1"/>
    </xf>
    <xf numFmtId="0" fontId="2" fillId="3" borderId="62" xfId="0" applyFont="1" applyFill="1" applyBorder="1" applyAlignment="1" applyProtection="1">
      <alignment horizontal="center" vertical="center" wrapText="1"/>
      <protection hidden="1"/>
    </xf>
    <xf numFmtId="0" fontId="2" fillId="3" borderId="63" xfId="0" applyFont="1" applyFill="1" applyBorder="1" applyAlignment="1" applyProtection="1">
      <alignment horizontal="center" vertical="center" wrapText="1"/>
      <protection hidden="1"/>
    </xf>
    <xf numFmtId="0" fontId="0" fillId="0" borderId="52" xfId="0" applyBorder="1" applyAlignment="1" applyProtection="1">
      <alignment horizontal="center" vertical="center"/>
      <protection locked="0" hidden="1"/>
    </xf>
    <xf numFmtId="0" fontId="0" fillId="0" borderId="53" xfId="0" applyBorder="1" applyAlignment="1" applyProtection="1">
      <alignment horizontal="center" vertical="center"/>
      <protection locked="0" hidden="1"/>
    </xf>
    <xf numFmtId="0" fontId="14" fillId="0" borderId="0" xfId="0" applyFont="1" applyBorder="1" applyAlignment="1" applyProtection="1">
      <alignment horizontal="center" vertical="center" wrapText="1"/>
      <protection hidden="1"/>
    </xf>
    <xf numFmtId="0" fontId="13" fillId="7" borderId="51" xfId="0" applyFont="1" applyFill="1" applyBorder="1" applyAlignment="1" applyProtection="1">
      <alignment horizontal="center" vertical="center"/>
      <protection hidden="1"/>
    </xf>
    <xf numFmtId="0" fontId="13" fillId="7" borderId="51" xfId="0" applyFont="1" applyFill="1" applyBorder="1" applyAlignment="1" applyProtection="1">
      <alignment horizontal="center" vertical="center" wrapText="1"/>
      <protection hidden="1"/>
    </xf>
    <xf numFmtId="0" fontId="13" fillId="7" borderId="52" xfId="0" applyFont="1" applyFill="1" applyBorder="1" applyAlignment="1" applyProtection="1">
      <alignment horizontal="center" vertical="center" wrapText="1"/>
      <protection hidden="1"/>
    </xf>
    <xf numFmtId="0" fontId="0" fillId="0" borderId="2" xfId="0" applyBorder="1" applyAlignment="1" applyProtection="1">
      <alignment horizontal="left" wrapText="1"/>
      <protection hidden="1"/>
    </xf>
    <xf numFmtId="0" fontId="0" fillId="0" borderId="3" xfId="0" applyBorder="1" applyAlignment="1" applyProtection="1">
      <alignment horizontal="left" wrapText="1"/>
      <protection hidden="1"/>
    </xf>
    <xf numFmtId="0" fontId="0" fillId="0" borderId="4" xfId="0" applyBorder="1" applyAlignment="1" applyProtection="1">
      <alignment horizontal="left" wrapText="1"/>
      <protection hidden="1"/>
    </xf>
    <xf numFmtId="0" fontId="0" fillId="0" borderId="2" xfId="0" applyBorder="1" applyAlignment="1" applyProtection="1">
      <alignment horizontal="left"/>
      <protection hidden="1"/>
    </xf>
    <xf numFmtId="0" fontId="0" fillId="0" borderId="3" xfId="0" applyBorder="1" applyAlignment="1" applyProtection="1">
      <alignment horizontal="left"/>
      <protection hidden="1"/>
    </xf>
    <xf numFmtId="0" fontId="0" fillId="0" borderId="4" xfId="0" applyBorder="1" applyAlignment="1" applyProtection="1">
      <alignment horizontal="left"/>
      <protection hidden="1"/>
    </xf>
    <xf numFmtId="0" fontId="0" fillId="0" borderId="11" xfId="0" applyBorder="1" applyAlignment="1" applyProtection="1">
      <alignment horizontal="center" vertical="center" wrapText="1"/>
      <protection locked="0" hidden="1"/>
    </xf>
    <xf numFmtId="0" fontId="4" fillId="2" borderId="11" xfId="0" applyFont="1" applyFill="1" applyBorder="1" applyAlignment="1" applyProtection="1">
      <alignment horizontal="right" vertical="center"/>
      <protection hidden="1"/>
    </xf>
    <xf numFmtId="44" fontId="2" fillId="2" borderId="11" xfId="0" applyNumberFormat="1" applyFont="1" applyFill="1" applyBorder="1" applyAlignment="1" applyProtection="1">
      <alignment horizontal="center" vertical="center"/>
      <protection hidden="1"/>
    </xf>
    <xf numFmtId="0" fontId="2" fillId="2" borderId="11" xfId="0" applyFont="1" applyFill="1" applyBorder="1" applyAlignment="1" applyProtection="1">
      <alignment horizontal="center" vertical="center"/>
      <protection hidden="1"/>
    </xf>
    <xf numFmtId="0" fontId="7" fillId="4" borderId="11" xfId="0" applyFont="1" applyFill="1" applyBorder="1" applyAlignment="1" applyProtection="1">
      <alignment horizontal="right" vertical="center"/>
      <protection hidden="1"/>
    </xf>
    <xf numFmtId="44" fontId="13" fillId="4" borderId="11" xfId="0" applyNumberFormat="1" applyFont="1" applyFill="1" applyBorder="1" applyAlignment="1" applyProtection="1">
      <alignment horizontal="center" vertical="center"/>
      <protection hidden="1"/>
    </xf>
    <xf numFmtId="0" fontId="13" fillId="4" borderId="11" xfId="0" applyFont="1" applyFill="1" applyBorder="1" applyAlignment="1" applyProtection="1">
      <alignment horizontal="center" vertical="center"/>
      <protection hidden="1"/>
    </xf>
    <xf numFmtId="44" fontId="11" fillId="3" borderId="22" xfId="0" applyNumberFormat="1" applyFont="1" applyFill="1" applyBorder="1" applyAlignment="1" applyProtection="1">
      <alignment horizontal="center" vertical="center"/>
      <protection hidden="1"/>
    </xf>
    <xf numFmtId="44" fontId="11" fillId="3" borderId="23" xfId="0" applyNumberFormat="1" applyFont="1" applyFill="1" applyBorder="1" applyAlignment="1" applyProtection="1">
      <alignment horizontal="center" vertical="center"/>
      <protection hidden="1"/>
    </xf>
    <xf numFmtId="44" fontId="11" fillId="3" borderId="25" xfId="0" applyNumberFormat="1" applyFont="1" applyFill="1" applyBorder="1" applyAlignment="1" applyProtection="1">
      <alignment horizontal="center" vertical="center"/>
      <protection hidden="1"/>
    </xf>
    <xf numFmtId="44" fontId="11" fillId="3" borderId="26" xfId="0" applyNumberFormat="1" applyFont="1" applyFill="1" applyBorder="1" applyAlignment="1" applyProtection="1">
      <alignment horizontal="center" vertical="center"/>
      <protection hidden="1"/>
    </xf>
    <xf numFmtId="0" fontId="21" fillId="6" borderId="11" xfId="0" applyFont="1" applyFill="1" applyBorder="1" applyAlignment="1" applyProtection="1">
      <alignment horizontal="center" vertical="center" wrapText="1"/>
      <protection hidden="1"/>
    </xf>
    <xf numFmtId="0" fontId="12" fillId="0" borderId="11" xfId="0" applyFont="1" applyBorder="1" applyAlignment="1" applyProtection="1">
      <alignment horizontal="left" vertical="center"/>
      <protection hidden="1"/>
    </xf>
    <xf numFmtId="0" fontId="20" fillId="4" borderId="13" xfId="0" applyFont="1" applyFill="1" applyBorder="1" applyAlignment="1">
      <alignment horizontal="center" vertical="center"/>
    </xf>
    <xf numFmtId="0" fontId="20" fillId="4" borderId="0" xfId="0" applyFont="1" applyFill="1" applyBorder="1" applyAlignment="1">
      <alignment horizontal="center" vertical="center"/>
    </xf>
    <xf numFmtId="0" fontId="20" fillId="4" borderId="18" xfId="0" applyFont="1" applyFill="1" applyBorder="1" applyAlignment="1">
      <alignment horizontal="center" vertical="center"/>
    </xf>
    <xf numFmtId="0" fontId="18" fillId="4" borderId="18" xfId="0" applyFont="1" applyFill="1" applyBorder="1" applyAlignment="1" applyProtection="1">
      <alignment horizontal="right" vertical="center"/>
      <protection hidden="1"/>
    </xf>
    <xf numFmtId="0" fontId="18" fillId="4" borderId="19" xfId="0" applyFont="1" applyFill="1" applyBorder="1" applyAlignment="1" applyProtection="1">
      <alignment horizontal="right" vertical="center"/>
      <protection hidden="1"/>
    </xf>
    <xf numFmtId="0" fontId="19" fillId="0" borderId="11" xfId="0" applyFont="1" applyBorder="1" applyAlignment="1" applyProtection="1">
      <alignment horizontal="center" vertical="center"/>
      <protection hidden="1"/>
    </xf>
    <xf numFmtId="0" fontId="19" fillId="0" borderId="20" xfId="0" applyFont="1" applyBorder="1" applyAlignment="1" applyProtection="1">
      <alignment horizontal="center" vertical="center"/>
      <protection hidden="1"/>
    </xf>
    <xf numFmtId="0" fontId="2" fillId="2" borderId="11" xfId="0" applyFont="1" applyFill="1" applyBorder="1" applyAlignment="1" applyProtection="1">
      <alignment horizontal="center" vertical="center" wrapText="1"/>
      <protection hidden="1"/>
    </xf>
    <xf numFmtId="0" fontId="2" fillId="2" borderId="20" xfId="0" applyFont="1" applyFill="1" applyBorder="1" applyAlignment="1" applyProtection="1">
      <alignment horizontal="center" vertical="center" wrapText="1"/>
      <protection hidden="1"/>
    </xf>
  </cellXfs>
  <cellStyles count="3">
    <cellStyle name="Moeda" xfId="1" builtinId="4"/>
    <cellStyle name="Normal" xfId="0" builtinId="0"/>
    <cellStyle name="Porcentagem" xfId="2" builtinId="5"/>
  </cellStyles>
  <dxfs count="2">
    <dxf>
      <font>
        <b/>
        <i val="0"/>
        <color theme="0"/>
      </font>
      <fill>
        <patternFill>
          <bgColor rgb="FFB59962"/>
        </patternFill>
      </fill>
    </dxf>
    <dxf>
      <font>
        <b/>
        <i val="0"/>
        <color theme="0"/>
      </font>
      <fill>
        <patternFill>
          <bgColor rgb="FFB59962"/>
        </patternFill>
      </fill>
    </dxf>
  </dxfs>
  <tableStyles count="0" defaultTableStyle="TableStyleMedium2" defaultPivotStyle="PivotStyleLight16"/>
  <colors>
    <mruColors>
      <color rgb="FFB59962"/>
      <color rgb="FF2E3C7A"/>
      <color rgb="FFDFBA70"/>
      <color rgb="FF29366D"/>
      <color rgb="FF1D264D"/>
      <color rgb="FFDFC289"/>
      <color rgb="FFDBC2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hyperlink" Target="http://intranet.portalsincor.org.br:3031/" TargetMode="External"/><Relationship Id="rId1" Type="http://schemas.openxmlformats.org/officeDocument/2006/relationships/image" Target="../media/image2.jpeg"/><Relationship Id="rId6" Type="http://schemas.openxmlformats.org/officeDocument/2006/relationships/hyperlink" Target="https://www.sincor.org.br/beneficios/" TargetMode="External"/><Relationship Id="rId5" Type="http://schemas.openxmlformats.org/officeDocument/2006/relationships/image" Target="../media/image4.png"/><Relationship Id="rId4" Type="http://schemas.openxmlformats.org/officeDocument/2006/relationships/hyperlink" Target="https://site.seggy.app/sincor-digital" TargetMode="Externa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hyperlink" Target="http://intranet.portalsincor.org.br:3031/" TargetMode="External"/><Relationship Id="rId1" Type="http://schemas.openxmlformats.org/officeDocument/2006/relationships/image" Target="../media/image1.jpeg"/><Relationship Id="rId4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1363</xdr:colOff>
      <xdr:row>1</xdr:row>
      <xdr:rowOff>10611</xdr:rowOff>
    </xdr:from>
    <xdr:to>
      <xdr:col>8</xdr:col>
      <xdr:colOff>25202</xdr:colOff>
      <xdr:row>3</xdr:row>
      <xdr:rowOff>181809</xdr:rowOff>
    </xdr:to>
    <xdr:pic>
      <xdr:nvPicPr>
        <xdr:cNvPr id="5" name="Imagem 4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23" t="9566" r="3620" b="5992"/>
        <a:stretch/>
      </xdr:blipFill>
      <xdr:spPr>
        <a:xfrm>
          <a:off x="495852" y="201111"/>
          <a:ext cx="1656394" cy="629209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1363</xdr:colOff>
      <xdr:row>2</xdr:row>
      <xdr:rowOff>20136</xdr:rowOff>
    </xdr:from>
    <xdr:to>
      <xdr:col>7</xdr:col>
      <xdr:colOff>223985</xdr:colOff>
      <xdr:row>5</xdr:row>
      <xdr:rowOff>834</xdr:rowOff>
    </xdr:to>
    <xdr:pic>
      <xdr:nvPicPr>
        <xdr:cNvPr id="2" name="Imagem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23" t="9566" r="3620" b="5992"/>
        <a:stretch/>
      </xdr:blipFill>
      <xdr:spPr>
        <a:xfrm>
          <a:off x="496663" y="410661"/>
          <a:ext cx="1660897" cy="628398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2</xdr:col>
      <xdr:colOff>1970</xdr:colOff>
      <xdr:row>41</xdr:row>
      <xdr:rowOff>117487</xdr:rowOff>
    </xdr:from>
    <xdr:to>
      <xdr:col>10</xdr:col>
      <xdr:colOff>36090</xdr:colOff>
      <xdr:row>43</xdr:row>
      <xdr:rowOff>136124</xdr:rowOff>
    </xdr:to>
    <xdr:pic>
      <xdr:nvPicPr>
        <xdr:cNvPr id="5" name="Imagem 4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>
          <a:duotone>
            <a:schemeClr val="accent1">
              <a:shade val="45000"/>
              <a:satMod val="135000"/>
            </a:schemeClr>
            <a:prstClr val="white"/>
          </a:duotone>
        </a:blip>
        <a:stretch>
          <a:fillRect/>
        </a:stretch>
      </xdr:blipFill>
      <xdr:spPr>
        <a:xfrm>
          <a:off x="498927" y="10695621"/>
          <a:ext cx="2220728" cy="427798"/>
        </a:xfrm>
        <a:prstGeom prst="rect">
          <a:avLst/>
        </a:prstGeom>
        <a:effectLst>
          <a:outerShdw blurRad="50800" dist="38100" dir="8100000" algn="tr" rotWithShape="0">
            <a:prstClr val="black">
              <a:alpha val="40000"/>
            </a:prstClr>
          </a:outerShdw>
        </a:effectLst>
      </xdr:spPr>
    </xdr:pic>
    <xdr:clientData/>
  </xdr:twoCellAnchor>
  <xdr:twoCellAnchor editAs="oneCell">
    <xdr:from>
      <xdr:col>1</xdr:col>
      <xdr:colOff>228600</xdr:colOff>
      <xdr:row>45</xdr:row>
      <xdr:rowOff>9525</xdr:rowOff>
    </xdr:from>
    <xdr:to>
      <xdr:col>31</xdr:col>
      <xdr:colOff>8636</xdr:colOff>
      <xdr:row>49</xdr:row>
      <xdr:rowOff>76200</xdr:rowOff>
    </xdr:to>
    <xdr:pic>
      <xdr:nvPicPr>
        <xdr:cNvPr id="7" name="Imagem 6">
          <a:hlinkClick xmlns:r="http://schemas.openxmlformats.org/officeDocument/2006/relationships" r:id="rId4"/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76250" y="11372850"/>
          <a:ext cx="7409561" cy="904875"/>
        </a:xfrm>
        <a:prstGeom prst="rect">
          <a:avLst/>
        </a:prstGeom>
        <a:effectLst>
          <a:glow rad="63500">
            <a:schemeClr val="accent1">
              <a:alpha val="40000"/>
            </a:schemeClr>
          </a:glow>
          <a:outerShdw blurRad="50800" dist="38100" dir="5400000" algn="t" rotWithShape="0">
            <a:prstClr val="black">
              <a:alpha val="40000"/>
            </a:prstClr>
          </a:outerShdw>
        </a:effectLst>
      </xdr:spPr>
    </xdr:pic>
    <xdr:clientData/>
  </xdr:twoCellAnchor>
  <xdr:twoCellAnchor editAs="absolute">
    <xdr:from>
      <xdr:col>2</xdr:col>
      <xdr:colOff>190503</xdr:colOff>
      <xdr:row>50</xdr:row>
      <xdr:rowOff>97321</xdr:rowOff>
    </xdr:from>
    <xdr:to>
      <xdr:col>30</xdr:col>
      <xdr:colOff>4</xdr:colOff>
      <xdr:row>52</xdr:row>
      <xdr:rowOff>47625</xdr:rowOff>
    </xdr:to>
    <xdr:sp macro="" textlink="">
      <xdr:nvSpPr>
        <xdr:cNvPr id="4" name="Retângulo de cantos arredondados 3">
          <a:hlinkClick xmlns:r="http://schemas.openxmlformats.org/officeDocument/2006/relationships" r:id="rId6"/>
        </xdr:cNvPr>
        <xdr:cNvSpPr/>
      </xdr:nvSpPr>
      <xdr:spPr>
        <a:xfrm>
          <a:off x="685803" y="12508396"/>
          <a:ext cx="6943726" cy="369404"/>
        </a:xfrm>
        <a:prstGeom prst="roundRect">
          <a:avLst>
            <a:gd name="adj" fmla="val 50000"/>
          </a:avLst>
        </a:prstGeom>
        <a:gradFill>
          <a:gsLst>
            <a:gs pos="0">
              <a:srgbClr val="DFBA70"/>
            </a:gs>
            <a:gs pos="100000">
              <a:srgbClr val="1D264D">
                <a:alpha val="79000"/>
              </a:srgbClr>
            </a:gs>
          </a:gsLst>
          <a:lin ang="5400000" scaled="1"/>
        </a:gradFill>
        <a:ln>
          <a:noFill/>
        </a:ln>
        <a:effectLst>
          <a:outerShdw blurRad="50800" dist="38100" dir="8100000" algn="tr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600" b="1"/>
            <a:t>Clique</a:t>
          </a:r>
          <a:r>
            <a:rPr lang="pt-BR" sz="1600" b="1" baseline="0"/>
            <a:t> aqui e confira as vantagens de ser um associado!</a:t>
          </a:r>
          <a:endParaRPr lang="pt-BR" sz="1600" b="1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1363</xdr:colOff>
      <xdr:row>2</xdr:row>
      <xdr:rowOff>20136</xdr:rowOff>
    </xdr:from>
    <xdr:to>
      <xdr:col>8</xdr:col>
      <xdr:colOff>25202</xdr:colOff>
      <xdr:row>5</xdr:row>
      <xdr:rowOff>834</xdr:rowOff>
    </xdr:to>
    <xdr:pic>
      <xdr:nvPicPr>
        <xdr:cNvPr id="2" name="Imagem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23" t="9566" r="3620" b="5992"/>
        <a:stretch/>
      </xdr:blipFill>
      <xdr:spPr>
        <a:xfrm>
          <a:off x="496663" y="210636"/>
          <a:ext cx="1662139" cy="628398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2</xdr:col>
      <xdr:colOff>11535</xdr:colOff>
      <xdr:row>27</xdr:row>
      <xdr:rowOff>28574</xdr:rowOff>
    </xdr:from>
    <xdr:to>
      <xdr:col>10</xdr:col>
      <xdr:colOff>95250</xdr:colOff>
      <xdr:row>29</xdr:row>
      <xdr:rowOff>9525</xdr:rowOff>
    </xdr:to>
    <xdr:pic>
      <xdr:nvPicPr>
        <xdr:cNvPr id="3" name="Imagem 2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>
          <a:duotone>
            <a:schemeClr val="accent5">
              <a:shade val="45000"/>
              <a:satMod val="135000"/>
            </a:schemeClr>
            <a:prstClr val="white"/>
          </a:duotone>
        </a:blip>
        <a:stretch>
          <a:fillRect/>
        </a:stretch>
      </xdr:blipFill>
      <xdr:spPr>
        <a:xfrm>
          <a:off x="506835" y="7296149"/>
          <a:ext cx="2217315" cy="428626"/>
        </a:xfrm>
        <a:prstGeom prst="rect">
          <a:avLst/>
        </a:prstGeom>
      </xdr:spPr>
    </xdr:pic>
    <xdr:clientData/>
  </xdr:twoCellAnchor>
  <xdr:twoCellAnchor editAs="absolute">
    <xdr:from>
      <xdr:col>2</xdr:col>
      <xdr:colOff>9525</xdr:colOff>
      <xdr:row>29</xdr:row>
      <xdr:rowOff>47625</xdr:rowOff>
    </xdr:from>
    <xdr:to>
      <xdr:col>4</xdr:col>
      <xdr:colOff>200025</xdr:colOff>
      <xdr:row>33</xdr:row>
      <xdr:rowOff>76200</xdr:rowOff>
    </xdr:to>
    <xdr:pic macro="[0]!Módulo4.Previa"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4" cstate="print">
          <a:duotone>
            <a:schemeClr val="accent1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4825" y="7762875"/>
          <a:ext cx="838200" cy="838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C2:AR37"/>
  <sheetViews>
    <sheetView showGridLines="0" zoomScaleNormal="100" workbookViewId="0">
      <selection activeCell="AW18" sqref="AW18"/>
    </sheetView>
  </sheetViews>
  <sheetFormatPr defaultRowHeight="15" x14ac:dyDescent="0.25"/>
  <cols>
    <col min="1" max="2" width="3.7109375" customWidth="1"/>
    <col min="3" max="3" width="6" customWidth="1"/>
    <col min="4" max="31" width="3.7109375" customWidth="1"/>
    <col min="32" max="40" width="3.7109375" hidden="1" customWidth="1"/>
    <col min="41" max="138" width="3.7109375" customWidth="1"/>
  </cols>
  <sheetData>
    <row r="2" spans="3:44" ht="21" customHeight="1" x14ac:dyDescent="0.25">
      <c r="C2" s="1"/>
      <c r="D2" s="1"/>
      <c r="E2" s="1"/>
      <c r="F2" s="1"/>
      <c r="G2" s="1"/>
      <c r="H2" s="1"/>
      <c r="I2" s="87" t="s">
        <v>0</v>
      </c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1"/>
      <c r="AD2" s="1"/>
    </row>
    <row r="3" spans="3:44" ht="15" customHeight="1" x14ac:dyDescent="0.25">
      <c r="C3" s="1"/>
      <c r="D3" s="1"/>
      <c r="E3" s="1"/>
      <c r="F3" s="1"/>
      <c r="G3" s="1"/>
      <c r="H3" s="1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1"/>
      <c r="AD3" s="1"/>
    </row>
    <row r="4" spans="3:44" ht="15" customHeight="1" x14ac:dyDescent="0.25">
      <c r="C4" s="1"/>
      <c r="D4" s="1"/>
      <c r="E4" s="1"/>
      <c r="F4" s="1"/>
      <c r="G4" s="1"/>
      <c r="H4" s="1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8" t="s">
        <v>4</v>
      </c>
      <c r="AD4" s="88"/>
    </row>
    <row r="6" spans="3:44" x14ac:dyDescent="0.25">
      <c r="R6" s="103" t="s">
        <v>5</v>
      </c>
      <c r="S6" s="103"/>
      <c r="T6" s="103"/>
      <c r="U6" s="103"/>
      <c r="V6" s="103" t="s">
        <v>23</v>
      </c>
      <c r="W6" s="103"/>
      <c r="X6" s="103"/>
      <c r="Y6" s="103"/>
      <c r="Z6" s="102" t="s">
        <v>11</v>
      </c>
      <c r="AA6" s="102"/>
      <c r="AB6" s="102"/>
      <c r="AC6" s="102"/>
      <c r="AD6" s="102"/>
    </row>
    <row r="7" spans="3:44" x14ac:dyDescent="0.25">
      <c r="R7" s="103"/>
      <c r="S7" s="103"/>
      <c r="T7" s="103"/>
      <c r="U7" s="103"/>
      <c r="V7" s="103"/>
      <c r="W7" s="103"/>
      <c r="X7" s="103"/>
      <c r="Y7" s="103"/>
      <c r="Z7" s="102"/>
      <c r="AA7" s="102"/>
      <c r="AB7" s="102"/>
      <c r="AC7" s="102"/>
      <c r="AD7" s="102"/>
    </row>
    <row r="8" spans="3:44" x14ac:dyDescent="0.25">
      <c r="R8" s="103"/>
      <c r="S8" s="103"/>
      <c r="T8" s="103"/>
      <c r="U8" s="103"/>
      <c r="V8" s="103"/>
      <c r="W8" s="103"/>
      <c r="X8" s="103"/>
      <c r="Y8" s="103"/>
      <c r="Z8" s="102"/>
      <c r="AA8" s="102"/>
      <c r="AB8" s="102"/>
      <c r="AC8" s="102"/>
      <c r="AD8" s="102"/>
      <c r="AF8" s="99" t="s">
        <v>6</v>
      </c>
      <c r="AG8" s="100"/>
      <c r="AH8" s="100"/>
      <c r="AI8" s="101"/>
      <c r="AJ8" s="5"/>
      <c r="AK8" s="99" t="s">
        <v>7</v>
      </c>
      <c r="AL8" s="100"/>
      <c r="AM8" s="100"/>
      <c r="AN8" s="101"/>
    </row>
    <row r="9" spans="3:44" s="3" customFormat="1" ht="20.100000000000001" customHeight="1" x14ac:dyDescent="0.25">
      <c r="C9" s="89" t="s">
        <v>16</v>
      </c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90" t="s">
        <v>2</v>
      </c>
      <c r="S9" s="90"/>
      <c r="T9" s="90"/>
      <c r="U9" s="90"/>
      <c r="V9" s="104">
        <f>IF(R9="SIM",1,0)</f>
        <v>1</v>
      </c>
      <c r="W9" s="97"/>
      <c r="X9" s="97"/>
      <c r="Y9" s="98"/>
      <c r="Z9" s="91">
        <f>IF(R9="Selecione",0,IF(R9="não",0,AF9))</f>
        <v>21.9</v>
      </c>
      <c r="AA9" s="92"/>
      <c r="AB9" s="92"/>
      <c r="AC9" s="92"/>
      <c r="AD9" s="93"/>
      <c r="AF9" s="91">
        <v>21.9</v>
      </c>
      <c r="AG9" s="92"/>
      <c r="AH9" s="92"/>
      <c r="AI9" s="93"/>
      <c r="AK9" s="91">
        <f>AF9*12</f>
        <v>262.79999999999995</v>
      </c>
      <c r="AL9" s="92"/>
      <c r="AM9" s="92"/>
      <c r="AN9" s="93"/>
    </row>
    <row r="11" spans="3:44" s="3" customFormat="1" ht="20.100000000000001" customHeight="1" x14ac:dyDescent="0.25">
      <c r="C11" s="89" t="s">
        <v>25</v>
      </c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90">
        <v>1</v>
      </c>
      <c r="S11" s="90"/>
      <c r="T11" s="90"/>
      <c r="U11" s="90"/>
      <c r="V11" s="104">
        <f>IF(R11="selecione","-",R11)</f>
        <v>1</v>
      </c>
      <c r="W11" s="97"/>
      <c r="X11" s="97"/>
      <c r="Y11" s="98"/>
      <c r="Z11" s="91">
        <f>IF(R11="selecione",0,AF11*30%)</f>
        <v>59.4</v>
      </c>
      <c r="AA11" s="92"/>
      <c r="AB11" s="92"/>
      <c r="AC11" s="92"/>
      <c r="AD11" s="93"/>
      <c r="AF11" s="91">
        <f>IF(V11="-","-",V11*198)</f>
        <v>198</v>
      </c>
      <c r="AG11" s="92"/>
      <c r="AH11" s="92"/>
      <c r="AI11" s="93"/>
      <c r="AK11" s="91">
        <f>AF11</f>
        <v>198</v>
      </c>
      <c r="AL11" s="92"/>
      <c r="AM11" s="92"/>
      <c r="AN11" s="93"/>
      <c r="AR11" s="6"/>
    </row>
    <row r="13" spans="3:44" s="3" customFormat="1" ht="20.100000000000001" customHeight="1" x14ac:dyDescent="0.25">
      <c r="C13" s="89" t="s">
        <v>26</v>
      </c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90" t="s">
        <v>2</v>
      </c>
      <c r="S13" s="90"/>
      <c r="T13" s="90"/>
      <c r="U13" s="90"/>
      <c r="V13" s="104">
        <f>IF(R13="NÃO",0,IF(R13="SIM",1,"-"))</f>
        <v>1</v>
      </c>
      <c r="W13" s="97"/>
      <c r="X13" s="97"/>
      <c r="Y13" s="98"/>
      <c r="Z13" s="91">
        <f>IF(R13="selecione",0,AF13*40%)</f>
        <v>64</v>
      </c>
      <c r="AA13" s="92"/>
      <c r="AB13" s="92"/>
      <c r="AC13" s="92"/>
      <c r="AD13" s="93"/>
      <c r="AF13" s="91">
        <f>IF(V13="-","-",V13*160)</f>
        <v>160</v>
      </c>
      <c r="AG13" s="92"/>
      <c r="AH13" s="92"/>
      <c r="AI13" s="93"/>
      <c r="AK13" s="91">
        <f>AF13</f>
        <v>160</v>
      </c>
      <c r="AL13" s="92"/>
      <c r="AM13" s="92"/>
      <c r="AN13" s="93"/>
    </row>
    <row r="15" spans="3:44" s="3" customFormat="1" ht="20.100000000000001" customHeight="1" x14ac:dyDescent="0.25">
      <c r="C15" s="89" t="s">
        <v>17</v>
      </c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90" t="s">
        <v>3</v>
      </c>
      <c r="S15" s="90"/>
      <c r="T15" s="90"/>
      <c r="U15" s="90"/>
      <c r="V15" s="104" t="s">
        <v>12</v>
      </c>
      <c r="W15" s="97"/>
      <c r="X15" s="97"/>
      <c r="Y15" s="98"/>
      <c r="Z15" s="91">
        <f>IF(R15="selecione",0,AK15)</f>
        <v>200</v>
      </c>
      <c r="AA15" s="92"/>
      <c r="AB15" s="92"/>
      <c r="AC15" s="92"/>
      <c r="AD15" s="93"/>
      <c r="AF15" s="91">
        <f>AK15/12</f>
        <v>16.666666666666668</v>
      </c>
      <c r="AG15" s="92"/>
      <c r="AH15" s="92"/>
      <c r="AI15" s="93"/>
      <c r="AK15" s="91">
        <v>200</v>
      </c>
      <c r="AL15" s="92"/>
      <c r="AM15" s="92"/>
      <c r="AN15" s="93"/>
    </row>
    <row r="17" spans="3:40" s="3" customFormat="1" ht="30" customHeight="1" x14ac:dyDescent="0.25">
      <c r="C17" s="94" t="s">
        <v>20</v>
      </c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0" t="s">
        <v>2</v>
      </c>
      <c r="S17" s="90"/>
      <c r="T17" s="90"/>
      <c r="U17" s="90"/>
      <c r="V17" s="104">
        <f>IF(R17="SIM",1,0)</f>
        <v>1</v>
      </c>
      <c r="W17" s="97"/>
      <c r="X17" s="97"/>
      <c r="Y17" s="98"/>
      <c r="Z17" s="95">
        <f>IF(R17="SIM",AK17,0)</f>
        <v>2664</v>
      </c>
      <c r="AA17" s="96"/>
      <c r="AB17" s="97"/>
      <c r="AC17" s="97"/>
      <c r="AD17" s="98"/>
      <c r="AF17" s="91">
        <v>222</v>
      </c>
      <c r="AG17" s="92"/>
      <c r="AH17" s="92"/>
      <c r="AI17" s="93"/>
      <c r="AK17" s="91">
        <f>AF17*12</f>
        <v>2664</v>
      </c>
      <c r="AL17" s="92"/>
      <c r="AM17" s="92"/>
      <c r="AN17" s="93"/>
    </row>
    <row r="19" spans="3:40" s="3" customFormat="1" ht="30" customHeight="1" x14ac:dyDescent="0.25">
      <c r="C19" s="94" t="s">
        <v>24</v>
      </c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0">
        <v>2</v>
      </c>
      <c r="S19" s="90"/>
      <c r="T19" s="90"/>
      <c r="U19" s="90"/>
      <c r="V19" s="104">
        <f>IF(R19="selecione","-",R19)</f>
        <v>2</v>
      </c>
      <c r="W19" s="97"/>
      <c r="X19" s="97"/>
      <c r="Y19" s="98"/>
      <c r="Z19" s="91">
        <f>IF(R19="selecione",0,IF(R19="não",0,AF19*65%))</f>
        <v>260</v>
      </c>
      <c r="AA19" s="92"/>
      <c r="AB19" s="92"/>
      <c r="AC19" s="92"/>
      <c r="AD19" s="93"/>
      <c r="AF19" s="91">
        <f>IF(V19="-","-",V19*200)</f>
        <v>400</v>
      </c>
      <c r="AG19" s="92"/>
      <c r="AH19" s="92"/>
      <c r="AI19" s="93"/>
      <c r="AK19" s="91"/>
      <c r="AL19" s="92"/>
      <c r="AM19" s="92"/>
      <c r="AN19" s="93"/>
    </row>
    <row r="21" spans="3:40" ht="15" customHeight="1" x14ac:dyDescent="0.25">
      <c r="K21" s="118" t="s">
        <v>28</v>
      </c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20"/>
      <c r="Z21" s="130">
        <f>SUM(Z9:AD19)</f>
        <v>3269.3</v>
      </c>
      <c r="AA21" s="131"/>
      <c r="AB21" s="132"/>
      <c r="AC21" s="132"/>
      <c r="AD21" s="133"/>
    </row>
    <row r="22" spans="3:40" x14ac:dyDescent="0.25">
      <c r="Z22" s="7"/>
      <c r="AA22" s="7"/>
      <c r="AB22" s="8"/>
      <c r="AC22" s="8"/>
      <c r="AD22" s="8"/>
    </row>
    <row r="23" spans="3:40" x14ac:dyDescent="0.25">
      <c r="K23" s="121" t="s">
        <v>27</v>
      </c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3"/>
      <c r="Z23" s="108">
        <f>90*12</f>
        <v>1080</v>
      </c>
      <c r="AA23" s="109"/>
      <c r="AB23" s="110"/>
      <c r="AC23" s="110"/>
      <c r="AD23" s="111"/>
    </row>
    <row r="24" spans="3:40" x14ac:dyDescent="0.25">
      <c r="Z24" s="7"/>
      <c r="AA24" s="7"/>
      <c r="AB24" s="8"/>
      <c r="AC24" s="8"/>
      <c r="AD24" s="8"/>
    </row>
    <row r="25" spans="3:40" ht="15" customHeight="1" x14ac:dyDescent="0.25">
      <c r="K25" s="124" t="str">
        <f>IF(Z25&lt;1,"UTILIZE MAIS BENEFÍCIOS PARA CHEGAR AO BREAK EVEN DE CÁLCULO",IF(Z25&gt;1,"PARABÉNS! SUA POTENCIAL MARGEM DE DESCONTOS ULTRAPASSOU O VALOR DA SUA ASSOCIATIVA! "))</f>
        <v xml:space="preserve">PARABÉNS! SUA POTENCIAL MARGEM DE DESCONTOS ULTRAPASSOU O VALOR DA SUA ASSOCIATIVA! </v>
      </c>
      <c r="L25" s="125"/>
      <c r="M25" s="125"/>
      <c r="N25" s="125"/>
      <c r="O25" s="125"/>
      <c r="P25" s="125"/>
      <c r="Q25" s="125"/>
      <c r="R25" s="125"/>
      <c r="S25" s="125"/>
      <c r="T25" s="125"/>
      <c r="U25" s="125"/>
      <c r="V25" s="125"/>
      <c r="W25" s="125"/>
      <c r="X25" s="125"/>
      <c r="Y25" s="126"/>
      <c r="Z25" s="112">
        <f>Z21-Z23</f>
        <v>2189.3000000000002</v>
      </c>
      <c r="AA25" s="113"/>
      <c r="AB25" s="113"/>
      <c r="AC25" s="113"/>
      <c r="AD25" s="114"/>
    </row>
    <row r="26" spans="3:40" x14ac:dyDescent="0.25">
      <c r="K26" s="127"/>
      <c r="L26" s="128"/>
      <c r="M26" s="128"/>
      <c r="N26" s="128"/>
      <c r="O26" s="128"/>
      <c r="P26" s="128"/>
      <c r="Q26" s="128"/>
      <c r="R26" s="128"/>
      <c r="S26" s="128"/>
      <c r="T26" s="128"/>
      <c r="U26" s="128"/>
      <c r="V26" s="128"/>
      <c r="W26" s="128"/>
      <c r="X26" s="128"/>
      <c r="Y26" s="129"/>
      <c r="Z26" s="115"/>
      <c r="AA26" s="116"/>
      <c r="AB26" s="116"/>
      <c r="AC26" s="116"/>
      <c r="AD26" s="117"/>
    </row>
    <row r="27" spans="3:40" x14ac:dyDescent="0.25">
      <c r="Z27" s="7"/>
      <c r="AA27" s="7"/>
      <c r="AB27" s="8"/>
      <c r="AC27" s="8"/>
      <c r="AD27" s="8"/>
    </row>
    <row r="29" spans="3:40" x14ac:dyDescent="0.25">
      <c r="C29" s="2" t="s">
        <v>8</v>
      </c>
      <c r="D29" s="134" t="s">
        <v>15</v>
      </c>
      <c r="E29" s="135"/>
      <c r="F29" s="135"/>
      <c r="G29" s="135"/>
      <c r="H29" s="135"/>
      <c r="I29" s="135"/>
      <c r="J29" s="135"/>
      <c r="K29" s="135"/>
      <c r="L29" s="135"/>
      <c r="M29" s="135"/>
      <c r="N29" s="135"/>
      <c r="O29" s="135"/>
      <c r="P29" s="135"/>
      <c r="Q29" s="135"/>
      <c r="R29" s="135"/>
      <c r="S29" s="135"/>
      <c r="T29" s="135"/>
      <c r="U29" s="135"/>
      <c r="V29" s="135"/>
      <c r="W29" s="135"/>
      <c r="X29" s="135"/>
      <c r="Y29" s="135"/>
      <c r="Z29" s="135"/>
      <c r="AA29" s="135"/>
      <c r="AB29" s="135"/>
      <c r="AC29" s="135"/>
      <c r="AD29" s="136"/>
    </row>
    <row r="30" spans="3:40" ht="9.9499999999999993" customHeight="1" x14ac:dyDescent="0.25">
      <c r="AK30" s="4"/>
    </row>
    <row r="31" spans="3:40" x14ac:dyDescent="0.25">
      <c r="C31" s="2" t="s">
        <v>9</v>
      </c>
      <c r="D31" s="134" t="s">
        <v>19</v>
      </c>
      <c r="E31" s="135"/>
      <c r="F31" s="135"/>
      <c r="G31" s="135"/>
      <c r="H31" s="135"/>
      <c r="I31" s="135"/>
      <c r="J31" s="135"/>
      <c r="K31" s="135"/>
      <c r="L31" s="135"/>
      <c r="M31" s="135"/>
      <c r="N31" s="135"/>
      <c r="O31" s="135"/>
      <c r="P31" s="135"/>
      <c r="Q31" s="135"/>
      <c r="R31" s="135"/>
      <c r="S31" s="135"/>
      <c r="T31" s="135"/>
      <c r="U31" s="135"/>
      <c r="V31" s="135"/>
      <c r="W31" s="135"/>
      <c r="X31" s="135"/>
      <c r="Y31" s="135"/>
      <c r="Z31" s="135"/>
      <c r="AA31" s="135"/>
      <c r="AB31" s="135"/>
      <c r="AC31" s="135"/>
      <c r="AD31" s="136"/>
    </row>
    <row r="32" spans="3:40" ht="9.9499999999999993" customHeight="1" x14ac:dyDescent="0.25"/>
    <row r="33" spans="3:30" x14ac:dyDescent="0.25">
      <c r="C33" s="2" t="s">
        <v>13</v>
      </c>
      <c r="D33" s="134" t="s">
        <v>10</v>
      </c>
      <c r="E33" s="135"/>
      <c r="F33" s="135"/>
      <c r="G33" s="135"/>
      <c r="H33" s="135"/>
      <c r="I33" s="135"/>
      <c r="J33" s="135"/>
      <c r="K33" s="135"/>
      <c r="L33" s="135"/>
      <c r="M33" s="135"/>
      <c r="N33" s="135"/>
      <c r="O33" s="135"/>
      <c r="P33" s="135"/>
      <c r="Q33" s="135"/>
      <c r="R33" s="135"/>
      <c r="S33" s="135"/>
      <c r="T33" s="135"/>
      <c r="U33" s="135"/>
      <c r="V33" s="135"/>
      <c r="W33" s="135"/>
      <c r="X33" s="135"/>
      <c r="Y33" s="135"/>
      <c r="Z33" s="135"/>
      <c r="AA33" s="135"/>
      <c r="AB33" s="135"/>
      <c r="AC33" s="135"/>
      <c r="AD33" s="136"/>
    </row>
    <row r="34" spans="3:30" ht="9.9499999999999993" customHeight="1" x14ac:dyDescent="0.25"/>
    <row r="35" spans="3:30" x14ac:dyDescent="0.25">
      <c r="C35" s="2" t="s">
        <v>18</v>
      </c>
      <c r="D35" s="134" t="s">
        <v>14</v>
      </c>
      <c r="E35" s="135"/>
      <c r="F35" s="135"/>
      <c r="G35" s="135"/>
      <c r="H35" s="135"/>
      <c r="I35" s="135"/>
      <c r="J35" s="135"/>
      <c r="K35" s="135"/>
      <c r="L35" s="135"/>
      <c r="M35" s="135"/>
      <c r="N35" s="135"/>
      <c r="O35" s="135"/>
      <c r="P35" s="135"/>
      <c r="Q35" s="135"/>
      <c r="R35" s="135"/>
      <c r="S35" s="135"/>
      <c r="T35" s="135"/>
      <c r="U35" s="135"/>
      <c r="V35" s="135"/>
      <c r="W35" s="135"/>
      <c r="X35" s="135"/>
      <c r="Y35" s="135"/>
      <c r="Z35" s="135"/>
      <c r="AA35" s="135"/>
      <c r="AB35" s="135"/>
      <c r="AC35" s="135"/>
      <c r="AD35" s="136"/>
    </row>
    <row r="36" spans="3:30" ht="9.9499999999999993" customHeight="1" x14ac:dyDescent="0.25"/>
    <row r="37" spans="3:30" ht="30" customHeight="1" x14ac:dyDescent="0.25">
      <c r="C37" s="2" t="s">
        <v>21</v>
      </c>
      <c r="D37" s="105" t="s">
        <v>22</v>
      </c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6"/>
      <c r="U37" s="106"/>
      <c r="V37" s="106"/>
      <c r="W37" s="106"/>
      <c r="X37" s="106"/>
      <c r="Y37" s="106"/>
      <c r="Z37" s="106"/>
      <c r="AA37" s="106"/>
      <c r="AB37" s="106"/>
      <c r="AC37" s="106"/>
      <c r="AD37" s="107"/>
    </row>
  </sheetData>
  <mergeCells count="54">
    <mergeCell ref="D37:AD37"/>
    <mergeCell ref="C19:Q19"/>
    <mergeCell ref="R19:U19"/>
    <mergeCell ref="V19:Y19"/>
    <mergeCell ref="Z19:AD19"/>
    <mergeCell ref="Z23:AD23"/>
    <mergeCell ref="Z25:AD26"/>
    <mergeCell ref="K21:Y21"/>
    <mergeCell ref="K23:Y23"/>
    <mergeCell ref="K25:Y26"/>
    <mergeCell ref="Z21:AD21"/>
    <mergeCell ref="D35:AD35"/>
    <mergeCell ref="D29:AD29"/>
    <mergeCell ref="D33:AD33"/>
    <mergeCell ref="D31:AD31"/>
    <mergeCell ref="AK19:AN19"/>
    <mergeCell ref="V17:Y17"/>
    <mergeCell ref="AK8:AN8"/>
    <mergeCell ref="AK9:AN9"/>
    <mergeCell ref="AF11:AI11"/>
    <mergeCell ref="AK11:AN11"/>
    <mergeCell ref="V13:Y13"/>
    <mergeCell ref="AF13:AI13"/>
    <mergeCell ref="AK13:AN13"/>
    <mergeCell ref="V15:Y15"/>
    <mergeCell ref="AF15:AI15"/>
    <mergeCell ref="AK15:AN15"/>
    <mergeCell ref="AF17:AI17"/>
    <mergeCell ref="AK17:AN17"/>
    <mergeCell ref="AF19:AI19"/>
    <mergeCell ref="C17:Q17"/>
    <mergeCell ref="R17:U17"/>
    <mergeCell ref="Z17:AD17"/>
    <mergeCell ref="AF8:AI8"/>
    <mergeCell ref="AF9:AI9"/>
    <mergeCell ref="Z6:AD8"/>
    <mergeCell ref="R6:U8"/>
    <mergeCell ref="V6:Y8"/>
    <mergeCell ref="V9:Y9"/>
    <mergeCell ref="V11:Y11"/>
    <mergeCell ref="C15:Q15"/>
    <mergeCell ref="R15:U15"/>
    <mergeCell ref="Z15:AD15"/>
    <mergeCell ref="C13:Q13"/>
    <mergeCell ref="R13:U13"/>
    <mergeCell ref="Z13:AD13"/>
    <mergeCell ref="I2:AB4"/>
    <mergeCell ref="AC4:AD4"/>
    <mergeCell ref="C11:Q11"/>
    <mergeCell ref="R11:U11"/>
    <mergeCell ref="Z11:AD11"/>
    <mergeCell ref="C9:Q9"/>
    <mergeCell ref="R9:U9"/>
    <mergeCell ref="Z9:AD9"/>
  </mergeCells>
  <dataValidations count="1">
    <dataValidation type="list" allowBlank="1" showInputMessage="1" showErrorMessage="1" sqref="R19:U19">
      <formula1>$B$1:$B$33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'BASE DE DADOS'!$A$1:$A$3</xm:f>
          </x14:formula1>
          <xm:sqref>R9:U9 R15:U15 R13:U13 R17:U17</xm:sqref>
        </x14:dataValidation>
        <x14:dataValidation type="list" allowBlank="1" showInputMessage="1" showErrorMessage="1">
          <x14:formula1>
            <xm:f>'BASE DE DADOS'!$B$1:$B$36</xm:f>
          </x14:formula1>
          <xm:sqref>R11:U11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>
    <pageSetUpPr fitToPage="1"/>
  </sheetPr>
  <dimension ref="A1:EI81"/>
  <sheetViews>
    <sheetView showGridLines="0" showRowColHeaders="0" tabSelected="1" zoomScaleNormal="100" workbookViewId="0">
      <selection activeCell="R7" sqref="R7:X7"/>
    </sheetView>
  </sheetViews>
  <sheetFormatPr defaultColWidth="0" defaultRowHeight="15" zeroHeight="1" x14ac:dyDescent="0.25"/>
  <cols>
    <col min="1" max="2" width="3.7109375" style="30" customWidth="1"/>
    <col min="3" max="3" width="6.7109375" style="30" customWidth="1"/>
    <col min="4" max="32" width="3.7109375" style="30" customWidth="1"/>
    <col min="33" max="33" width="3.7109375" style="30" hidden="1" customWidth="1"/>
    <col min="34" max="34" width="6.5703125" style="30" hidden="1" customWidth="1"/>
    <col min="35" max="43" width="3.7109375" style="30" hidden="1" customWidth="1"/>
    <col min="44" max="44" width="10" style="30" hidden="1" customWidth="1"/>
    <col min="45" max="45" width="9.7109375" style="30" hidden="1" customWidth="1"/>
    <col min="46" max="46" width="22.5703125" style="30" hidden="1" customWidth="1"/>
    <col min="47" max="52" width="3.7109375" style="30" hidden="1" customWidth="1"/>
    <col min="53" max="53" width="17.85546875" style="30" hidden="1" customWidth="1"/>
    <col min="54" max="55" width="3.7109375" style="30" hidden="1" customWidth="1"/>
    <col min="56" max="56" width="15.140625" style="30" hidden="1" customWidth="1"/>
    <col min="57" max="59" width="3.7109375" style="30" hidden="1" customWidth="1"/>
    <col min="60" max="60" width="3.7109375" style="30" customWidth="1"/>
    <col min="61" max="139" width="3.7109375" style="30" hidden="1"/>
    <col min="140" max="16384" width="9.140625" style="30" hidden="1"/>
  </cols>
  <sheetData>
    <row r="1" spans="2:56" ht="15.75" thickBot="1" x14ac:dyDescent="0.3"/>
    <row r="2" spans="2:56" x14ac:dyDescent="0.25">
      <c r="B2" s="31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3"/>
    </row>
    <row r="3" spans="2:56" ht="21" customHeight="1" x14ac:dyDescent="0.25">
      <c r="B3" s="34"/>
      <c r="C3" s="35"/>
      <c r="D3" s="36"/>
      <c r="E3" s="36"/>
      <c r="F3" s="36"/>
      <c r="G3" s="36"/>
      <c r="H3" s="36"/>
      <c r="I3" s="36"/>
      <c r="J3" s="191" t="s">
        <v>0</v>
      </c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1"/>
      <c r="V3" s="191"/>
      <c r="W3" s="191"/>
      <c r="X3" s="191"/>
      <c r="Y3" s="191"/>
      <c r="Z3" s="191"/>
      <c r="AA3" s="191"/>
      <c r="AB3" s="191"/>
      <c r="AC3" s="191"/>
      <c r="AD3" s="36"/>
      <c r="AE3" s="37"/>
      <c r="AF3" s="38"/>
    </row>
    <row r="4" spans="2:56" ht="15" customHeight="1" x14ac:dyDescent="0.25">
      <c r="B4" s="34"/>
      <c r="C4" s="39"/>
      <c r="D4" s="40"/>
      <c r="E4" s="40"/>
      <c r="F4" s="40"/>
      <c r="G4" s="40"/>
      <c r="H4" s="40"/>
      <c r="I4" s="40"/>
      <c r="J4" s="192"/>
      <c r="K4" s="192"/>
      <c r="L4" s="192"/>
      <c r="M4" s="192"/>
      <c r="N4" s="192"/>
      <c r="O4" s="192"/>
      <c r="P4" s="192"/>
      <c r="Q4" s="192"/>
      <c r="R4" s="192"/>
      <c r="S4" s="192"/>
      <c r="T4" s="192"/>
      <c r="U4" s="192"/>
      <c r="V4" s="192"/>
      <c r="W4" s="192"/>
      <c r="X4" s="192"/>
      <c r="Y4" s="192"/>
      <c r="Z4" s="192"/>
      <c r="AA4" s="192"/>
      <c r="AB4" s="192"/>
      <c r="AC4" s="192"/>
      <c r="AD4" s="40"/>
      <c r="AE4" s="41"/>
      <c r="AF4" s="38"/>
    </row>
    <row r="5" spans="2:56" ht="15" customHeight="1" x14ac:dyDescent="0.25">
      <c r="B5" s="34"/>
      <c r="C5" s="42"/>
      <c r="D5" s="43"/>
      <c r="E5" s="43"/>
      <c r="F5" s="43"/>
      <c r="G5" s="43"/>
      <c r="H5" s="43"/>
      <c r="I5" s="43"/>
      <c r="J5" s="193"/>
      <c r="K5" s="193"/>
      <c r="L5" s="193"/>
      <c r="M5" s="193"/>
      <c r="N5" s="193"/>
      <c r="O5" s="193"/>
      <c r="P5" s="193"/>
      <c r="Q5" s="193"/>
      <c r="R5" s="193"/>
      <c r="S5" s="193"/>
      <c r="T5" s="193"/>
      <c r="U5" s="193"/>
      <c r="V5" s="193"/>
      <c r="W5" s="193"/>
      <c r="X5" s="193"/>
      <c r="Y5" s="193"/>
      <c r="Z5" s="193"/>
      <c r="AA5" s="193"/>
      <c r="AB5" s="193"/>
      <c r="AC5" s="193"/>
      <c r="AD5" s="194" t="s">
        <v>101</v>
      </c>
      <c r="AE5" s="195"/>
      <c r="AF5" s="38"/>
    </row>
    <row r="6" spans="2:56" ht="15.75" thickBot="1" x14ac:dyDescent="0.3">
      <c r="B6" s="3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38"/>
    </row>
    <row r="7" spans="2:56" s="49" customFormat="1" ht="30" customHeight="1" thickBot="1" x14ac:dyDescent="0.3">
      <c r="B7" s="47"/>
      <c r="C7" s="211" t="s">
        <v>35</v>
      </c>
      <c r="D7" s="170"/>
      <c r="E7" s="170"/>
      <c r="F7" s="170"/>
      <c r="G7" s="170"/>
      <c r="H7" s="170"/>
      <c r="I7" s="170"/>
      <c r="J7" s="208" t="s">
        <v>1</v>
      </c>
      <c r="K7" s="208"/>
      <c r="L7" s="208"/>
      <c r="M7" s="208"/>
      <c r="N7" s="208"/>
      <c r="O7" s="208"/>
      <c r="P7" s="209"/>
      <c r="Q7" s="65"/>
      <c r="R7" s="211" t="s">
        <v>39</v>
      </c>
      <c r="S7" s="170"/>
      <c r="T7" s="170"/>
      <c r="U7" s="170"/>
      <c r="V7" s="170"/>
      <c r="W7" s="170"/>
      <c r="X7" s="170"/>
      <c r="Y7" s="208" t="s">
        <v>1</v>
      </c>
      <c r="Z7" s="208"/>
      <c r="AA7" s="208"/>
      <c r="AB7" s="208"/>
      <c r="AC7" s="208"/>
      <c r="AD7" s="208"/>
      <c r="AE7" s="209"/>
      <c r="AF7" s="48"/>
      <c r="AH7" s="81" t="e">
        <f>VLOOKUP(J7,'BASE DE DADOS'!F2:J5,5,0)</f>
        <v>#N/A</v>
      </c>
      <c r="AR7" s="49" t="s">
        <v>1</v>
      </c>
      <c r="AT7" s="30" t="s">
        <v>99</v>
      </c>
    </row>
    <row r="8" spans="2:56" ht="15.75" thickBot="1" x14ac:dyDescent="0.3">
      <c r="B8" s="3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85">
        <f>IF(J7="EIRELI INDIVIDUAL",1,IF(J7="PESSOA FÍSICA",1,0))</f>
        <v>0</v>
      </c>
      <c r="T8" s="85" t="str">
        <f>Y7</f>
        <v>SELECIONE</v>
      </c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38"/>
    </row>
    <row r="9" spans="2:56" s="49" customFormat="1" ht="30" customHeight="1" thickBot="1" x14ac:dyDescent="0.3">
      <c r="B9" s="47"/>
      <c r="C9" s="212" t="s">
        <v>40</v>
      </c>
      <c r="D9" s="213"/>
      <c r="E9" s="213"/>
      <c r="F9" s="213"/>
      <c r="G9" s="213"/>
      <c r="H9" s="213"/>
      <c r="I9" s="213"/>
      <c r="J9" s="208" t="s">
        <v>1</v>
      </c>
      <c r="K9" s="208"/>
      <c r="L9" s="208"/>
      <c r="M9" s="208"/>
      <c r="N9" s="208"/>
      <c r="O9" s="208"/>
      <c r="P9" s="209"/>
      <c r="Q9" s="65"/>
      <c r="R9" s="210" t="str">
        <f>IF(S8=0,"",IF(J7="PESSOA FÍSICA"&lt;&gt;"EIRELI INDIVIDUAL",IF(SUM(S8:T8)&gt;2,"ERRO - SELECIONE APENAS 01 SÓCIO PARA PROSSEGUIR","")))</f>
        <v/>
      </c>
      <c r="S9" s="210"/>
      <c r="T9" s="210"/>
      <c r="U9" s="210"/>
      <c r="V9" s="210"/>
      <c r="W9" s="210"/>
      <c r="X9" s="210"/>
      <c r="Y9" s="210"/>
      <c r="Z9" s="210"/>
      <c r="AA9" s="210"/>
      <c r="AB9" s="210"/>
      <c r="AC9" s="210"/>
      <c r="AD9" s="210"/>
      <c r="AE9" s="210"/>
      <c r="AF9" s="48"/>
    </row>
    <row r="10" spans="2:56" ht="5.0999999999999996" customHeight="1" thickBot="1" x14ac:dyDescent="0.3">
      <c r="B10" s="3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38"/>
    </row>
    <row r="11" spans="2:56" ht="15" customHeight="1" x14ac:dyDescent="0.25">
      <c r="B11" s="3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196" t="s">
        <v>5</v>
      </c>
      <c r="S11" s="197"/>
      <c r="T11" s="197"/>
      <c r="U11" s="197"/>
      <c r="V11" s="197"/>
      <c r="W11" s="197" t="s">
        <v>53</v>
      </c>
      <c r="X11" s="197"/>
      <c r="Y11" s="197"/>
      <c r="Z11" s="197"/>
      <c r="AA11" s="202" t="s">
        <v>73</v>
      </c>
      <c r="AB11" s="202"/>
      <c r="AC11" s="202"/>
      <c r="AD11" s="202"/>
      <c r="AE11" s="203"/>
      <c r="AF11" s="38"/>
    </row>
    <row r="12" spans="2:56" ht="15" customHeight="1" x14ac:dyDescent="0.25">
      <c r="B12" s="3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198"/>
      <c r="S12" s="199"/>
      <c r="T12" s="199"/>
      <c r="U12" s="199"/>
      <c r="V12" s="199"/>
      <c r="W12" s="199"/>
      <c r="X12" s="199"/>
      <c r="Y12" s="199"/>
      <c r="Z12" s="199"/>
      <c r="AA12" s="204"/>
      <c r="AB12" s="204"/>
      <c r="AC12" s="204"/>
      <c r="AD12" s="204"/>
      <c r="AE12" s="205"/>
      <c r="AF12" s="38"/>
    </row>
    <row r="13" spans="2:56" ht="15" customHeight="1" thickBot="1" x14ac:dyDescent="0.3">
      <c r="B13" s="3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200"/>
      <c r="S13" s="201"/>
      <c r="T13" s="201"/>
      <c r="U13" s="201"/>
      <c r="V13" s="201"/>
      <c r="W13" s="201"/>
      <c r="X13" s="201"/>
      <c r="Y13" s="201"/>
      <c r="Z13" s="201"/>
      <c r="AA13" s="206"/>
      <c r="AB13" s="206"/>
      <c r="AC13" s="206"/>
      <c r="AD13" s="206"/>
      <c r="AE13" s="207"/>
      <c r="AF13" s="38"/>
      <c r="AG13" s="185" t="s">
        <v>6</v>
      </c>
      <c r="AH13" s="185"/>
      <c r="AI13" s="185"/>
      <c r="AJ13" s="186"/>
      <c r="AK13" s="45"/>
      <c r="AL13" s="184" t="s">
        <v>7</v>
      </c>
      <c r="AM13" s="185"/>
      <c r="AN13" s="185"/>
      <c r="AO13" s="186"/>
      <c r="AS13" s="30" t="s">
        <v>97</v>
      </c>
      <c r="AT13" s="30" t="s">
        <v>98</v>
      </c>
      <c r="BA13" s="46"/>
    </row>
    <row r="14" spans="2:56" ht="8.1" customHeight="1" x14ac:dyDescent="0.25">
      <c r="B14" s="3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38"/>
      <c r="BD14" s="52"/>
    </row>
    <row r="15" spans="2:56" s="49" customFormat="1" ht="30" customHeight="1" x14ac:dyDescent="0.25">
      <c r="B15" s="47"/>
      <c r="C15" s="145" t="str">
        <f>IF(AS35&gt;0,AT7,IF(J7=PERGUNTAS!C4,PERGUNTAS!C6,PERGUNTAS!D6))</f>
        <v>Você lê jornal pelo menos uma vez por semana? *</v>
      </c>
      <c r="D15" s="145"/>
      <c r="E15" s="145"/>
      <c r="F15" s="145"/>
      <c r="G15" s="145"/>
      <c r="H15" s="145"/>
      <c r="I15" s="145"/>
      <c r="J15" s="145"/>
      <c r="K15" s="145"/>
      <c r="L15" s="145"/>
      <c r="M15" s="145"/>
      <c r="N15" s="145"/>
      <c r="O15" s="145"/>
      <c r="P15" s="145"/>
      <c r="Q15" s="187"/>
      <c r="R15" s="188" t="s">
        <v>1</v>
      </c>
      <c r="S15" s="188"/>
      <c r="T15" s="188"/>
      <c r="U15" s="188"/>
      <c r="V15" s="188"/>
      <c r="W15" s="189" t="str">
        <f>IF(R15="não","-",IF(R15="selecione","-",Y7))</f>
        <v>-</v>
      </c>
      <c r="X15" s="189"/>
      <c r="Y15" s="189"/>
      <c r="Z15" s="189"/>
      <c r="AA15" s="190">
        <f>IF(Y7="selecione",0,IF(W15="selecione",0,IF(R15="Selecione",0,IF(R15="não",0,AG15))*12)*Y7)</f>
        <v>0</v>
      </c>
      <c r="AB15" s="190"/>
      <c r="AC15" s="190"/>
      <c r="AD15" s="190"/>
      <c r="AE15" s="190"/>
      <c r="AF15" s="48"/>
      <c r="AG15" s="142">
        <v>21.9</v>
      </c>
      <c r="AH15" s="142"/>
      <c r="AI15" s="142"/>
      <c r="AJ15" s="143"/>
      <c r="AL15" s="144">
        <f>AG15*12</f>
        <v>262.79999999999995</v>
      </c>
      <c r="AM15" s="142"/>
      <c r="AN15" s="142"/>
      <c r="AO15" s="143"/>
      <c r="AS15" s="49">
        <f>IF($J$7=$AR$7,IF(R15&lt;&gt;$AR$7,1,0))</f>
        <v>0</v>
      </c>
      <c r="AT15" s="49">
        <f>IF($Y$7=$AR$7,IF(R15&lt;&gt;$AR$7,1,0))</f>
        <v>0</v>
      </c>
      <c r="BA15" s="51"/>
      <c r="BD15" s="51"/>
    </row>
    <row r="16" spans="2:56" ht="8.1" customHeight="1" x14ac:dyDescent="0.25">
      <c r="B16" s="3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38"/>
      <c r="BD16" s="52"/>
    </row>
    <row r="17" spans="2:46" s="49" customFormat="1" ht="39.950000000000003" customHeight="1" x14ac:dyDescent="0.25">
      <c r="B17" s="47"/>
      <c r="C17" s="145" t="str">
        <f>IF(AS35&gt;0,AT7,IF(J7=PERGUNTAS!C4,PERGUNTAS!C8,PERGUNTAS!D8))</f>
        <v>Considerando sócios e colaboradores da corretora, quantos cursos você acha ideal fazer durante um ano? **</v>
      </c>
      <c r="D17" s="145"/>
      <c r="E17" s="145"/>
      <c r="F17" s="145"/>
      <c r="G17" s="145"/>
      <c r="H17" s="145"/>
      <c r="I17" s="145"/>
      <c r="J17" s="145"/>
      <c r="K17" s="145"/>
      <c r="L17" s="145"/>
      <c r="M17" s="145"/>
      <c r="N17" s="145"/>
      <c r="O17" s="145"/>
      <c r="P17" s="145"/>
      <c r="Q17" s="145"/>
      <c r="R17" s="146" t="s">
        <v>1</v>
      </c>
      <c r="S17" s="146"/>
      <c r="T17" s="146"/>
      <c r="U17" s="146"/>
      <c r="V17" s="146"/>
      <c r="W17" s="151" t="str">
        <f>IF(R17="selecione","-",R17)</f>
        <v>-</v>
      </c>
      <c r="X17" s="151"/>
      <c r="Y17" s="151"/>
      <c r="Z17" s="151"/>
      <c r="AA17" s="148">
        <f>IF(AS35&gt;1,0,IF(R17="selecione",0,AG17*30%))</f>
        <v>0</v>
      </c>
      <c r="AB17" s="148"/>
      <c r="AC17" s="148"/>
      <c r="AD17" s="148"/>
      <c r="AE17" s="148"/>
      <c r="AF17" s="48"/>
      <c r="AG17" s="142" t="str">
        <f>IF(W17="-","-",W17*198)</f>
        <v>-</v>
      </c>
      <c r="AH17" s="142"/>
      <c r="AI17" s="142"/>
      <c r="AJ17" s="143"/>
      <c r="AL17" s="144" t="str">
        <f>AG17</f>
        <v>-</v>
      </c>
      <c r="AM17" s="142"/>
      <c r="AN17" s="142"/>
      <c r="AO17" s="143"/>
      <c r="AS17" s="49">
        <f>IF($J$7=$AR$7,IF(R17&lt;&gt;$AR$7,1,0))</f>
        <v>0</v>
      </c>
      <c r="AT17" s="49">
        <f>IF($Y$7=$AR$7,IF(R17&lt;&gt;$AR$7,1,0))</f>
        <v>0</v>
      </c>
    </row>
    <row r="18" spans="2:46" ht="8.1" customHeight="1" x14ac:dyDescent="0.25">
      <c r="B18" s="3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38"/>
    </row>
    <row r="19" spans="2:46" s="49" customFormat="1" ht="30" customHeight="1" x14ac:dyDescent="0.25">
      <c r="B19" s="47"/>
      <c r="C19" s="145" t="str">
        <f>IF(AS35&gt;0,AT7,IF(J7=PERGUNTAS!C4,PERGUNTAS!C10,PERGUNTAS!D10))</f>
        <v>Você compraria certificado digital com 40% de desconto? ***</v>
      </c>
      <c r="D19" s="145"/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6" t="s">
        <v>1</v>
      </c>
      <c r="S19" s="146"/>
      <c r="T19" s="146"/>
      <c r="U19" s="146"/>
      <c r="V19" s="146"/>
      <c r="W19" s="151" t="str">
        <f>IF(R19="NÃO",0,IF(R19="SIM",1,"-"))</f>
        <v>-</v>
      </c>
      <c r="X19" s="151"/>
      <c r="Y19" s="151"/>
      <c r="Z19" s="151"/>
      <c r="AA19" s="148">
        <f>IF(AS35&gt;1,0,IF(R19="não",0,IF(R19="selecione",0,AG19*40%)*12))</f>
        <v>0</v>
      </c>
      <c r="AB19" s="148"/>
      <c r="AC19" s="148"/>
      <c r="AD19" s="148"/>
      <c r="AE19" s="148"/>
      <c r="AF19" s="48"/>
      <c r="AG19" s="142" t="e">
        <f>AL19/12</f>
        <v>#N/A</v>
      </c>
      <c r="AH19" s="142"/>
      <c r="AI19" s="142"/>
      <c r="AJ19" s="143"/>
      <c r="AL19" s="144" t="e">
        <f>IF(AH7="PF",160,349)</f>
        <v>#N/A</v>
      </c>
      <c r="AM19" s="142"/>
      <c r="AN19" s="142"/>
      <c r="AO19" s="143"/>
      <c r="AS19" s="49">
        <f>IF($J$7=$AR$7,IF(R19&lt;&gt;$AR$7,1,0))</f>
        <v>0</v>
      </c>
      <c r="AT19" s="49">
        <f>IF($Y$7=$AR$7,IF(R19&lt;&gt;$AR$7,1,0))</f>
        <v>0</v>
      </c>
    </row>
    <row r="20" spans="2:46" ht="8.1" customHeight="1" x14ac:dyDescent="0.25">
      <c r="B20" s="3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38"/>
    </row>
    <row r="21" spans="2:46" s="49" customFormat="1" ht="39.950000000000003" customHeight="1" x14ac:dyDescent="0.25">
      <c r="B21" s="47"/>
      <c r="C21" s="145" t="str">
        <f>IF(AS35&gt;0,AT7,IF(J7=PERGUNTAS!C4,PERGUNTAS!C12,PERGUNTAS!D12))</f>
        <v>Você necessita comprar uma Apólice de RC nos próximos 12 meses para garantir a continuidade dos seus negócios? ****</v>
      </c>
      <c r="D21" s="145"/>
      <c r="E21" s="145"/>
      <c r="F21" s="145"/>
      <c r="G21" s="145"/>
      <c r="H21" s="145"/>
      <c r="I21" s="145"/>
      <c r="J21" s="145"/>
      <c r="K21" s="145"/>
      <c r="L21" s="145"/>
      <c r="M21" s="145"/>
      <c r="N21" s="145"/>
      <c r="O21" s="145"/>
      <c r="P21" s="145"/>
      <c r="Q21" s="145"/>
      <c r="R21" s="146" t="s">
        <v>1</v>
      </c>
      <c r="S21" s="146"/>
      <c r="T21" s="146"/>
      <c r="U21" s="146"/>
      <c r="V21" s="146"/>
      <c r="W21" s="151" t="s">
        <v>12</v>
      </c>
      <c r="X21" s="151"/>
      <c r="Y21" s="151"/>
      <c r="Z21" s="151"/>
      <c r="AA21" s="148">
        <f>IF(AS35&gt;1,0,IF(R21="não",0,IF(R21="selecione",0,AL21)))</f>
        <v>0</v>
      </c>
      <c r="AB21" s="148"/>
      <c r="AC21" s="148"/>
      <c r="AD21" s="148"/>
      <c r="AE21" s="148"/>
      <c r="AF21" s="48"/>
      <c r="AG21" s="142" t="e">
        <f>AL21/12</f>
        <v>#N/A</v>
      </c>
      <c r="AH21" s="142"/>
      <c r="AI21" s="142"/>
      <c r="AJ21" s="143"/>
      <c r="AL21" s="144" t="e">
        <f>IF(AH7="PF",200,250)</f>
        <v>#N/A</v>
      </c>
      <c r="AM21" s="142"/>
      <c r="AN21" s="142"/>
      <c r="AO21" s="143"/>
      <c r="AS21" s="49">
        <f>IF($J$7=$AR$7,IF(R21&lt;&gt;$AR$7,1,0))</f>
        <v>0</v>
      </c>
      <c r="AT21" s="49">
        <f>IF($Y$7=$AR$7,IF(R21&lt;&gt;$AR$7,1,0))</f>
        <v>0</v>
      </c>
    </row>
    <row r="22" spans="2:46" ht="8.1" customHeight="1" x14ac:dyDescent="0.25">
      <c r="B22" s="3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38"/>
    </row>
    <row r="23" spans="2:46" s="49" customFormat="1" ht="50.1" customHeight="1" x14ac:dyDescent="0.25">
      <c r="B23" s="47"/>
      <c r="C23" s="145" t="str">
        <f>IF(AS35&gt;0,AT7,IF(J7=PERGUNTAS!C4,PERGUNTAS!C14,PERGUNTAS!D14))</f>
        <v>Você, acionistas, filhos dos sócios ou colaboradores gostariam de contar com desconto em uma universidade particular? Se sim, quantas pessoas? *****</v>
      </c>
      <c r="D23" s="145"/>
      <c r="E23" s="145"/>
      <c r="F23" s="145"/>
      <c r="G23" s="145"/>
      <c r="H23" s="145"/>
      <c r="I23" s="145"/>
      <c r="J23" s="145"/>
      <c r="K23" s="145"/>
      <c r="L23" s="145"/>
      <c r="M23" s="145"/>
      <c r="N23" s="145"/>
      <c r="O23" s="145"/>
      <c r="P23" s="145"/>
      <c r="Q23" s="145"/>
      <c r="R23" s="146" t="s">
        <v>1</v>
      </c>
      <c r="S23" s="146"/>
      <c r="T23" s="146"/>
      <c r="U23" s="146"/>
      <c r="V23" s="146"/>
      <c r="W23" s="146" t="s">
        <v>1</v>
      </c>
      <c r="X23" s="146"/>
      <c r="Y23" s="146"/>
      <c r="Z23" s="146"/>
      <c r="AA23" s="148">
        <f>IF(W23="SELECIONE",0,IF(R23="não",0,IF(R23="selecione",0,((AG23*20%)*W23))*12))</f>
        <v>0</v>
      </c>
      <c r="AB23" s="148"/>
      <c r="AC23" s="148"/>
      <c r="AD23" s="148"/>
      <c r="AE23" s="148"/>
      <c r="AF23" s="48"/>
      <c r="AG23" s="142">
        <f>AL23/12</f>
        <v>1060</v>
      </c>
      <c r="AH23" s="142"/>
      <c r="AI23" s="142"/>
      <c r="AJ23" s="143"/>
      <c r="AL23" s="144">
        <f>1060*12</f>
        <v>12720</v>
      </c>
      <c r="AM23" s="142"/>
      <c r="AN23" s="142"/>
      <c r="AO23" s="143"/>
      <c r="AR23" s="49" t="str">
        <f>IF(R23="SIM","S","N")</f>
        <v>N</v>
      </c>
      <c r="AS23" s="49">
        <f>IF($J$7=$AR$7,IF(R23&lt;&gt;$AR$7,1,0))</f>
        <v>0</v>
      </c>
      <c r="AT23" s="49">
        <f>IF($Y$7=$AR$7,IF(R23&lt;&gt;$AR$7,1,0))</f>
        <v>0</v>
      </c>
    </row>
    <row r="24" spans="2:46" ht="8.1" customHeight="1" x14ac:dyDescent="0.25">
      <c r="B24" s="3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38"/>
    </row>
    <row r="25" spans="2:46" s="49" customFormat="1" ht="50.1" customHeight="1" x14ac:dyDescent="0.25">
      <c r="B25" s="47"/>
      <c r="C25" s="149" t="str">
        <f>IF(AS35&gt;0,AT7,IF(J7=PERGUNTAS!C4,PERGUNTAS!C16,PERGUNTAS!D16))</f>
        <v>Você, acionistas, filhos dos sócios ou colaboradores gostariam de contar com desconto em uma Pós-Graduação Online? Se sim, quantas pessoas? ******</v>
      </c>
      <c r="D25" s="149"/>
      <c r="E25" s="149"/>
      <c r="F25" s="149"/>
      <c r="G25" s="149"/>
      <c r="H25" s="149"/>
      <c r="I25" s="149"/>
      <c r="J25" s="149"/>
      <c r="K25" s="149"/>
      <c r="L25" s="149"/>
      <c r="M25" s="149"/>
      <c r="N25" s="149"/>
      <c r="O25" s="149"/>
      <c r="P25" s="149"/>
      <c r="Q25" s="149"/>
      <c r="R25" s="146" t="s">
        <v>1</v>
      </c>
      <c r="S25" s="146"/>
      <c r="T25" s="146"/>
      <c r="U25" s="146"/>
      <c r="V25" s="146"/>
      <c r="W25" s="146" t="s">
        <v>1</v>
      </c>
      <c r="X25" s="146"/>
      <c r="Y25" s="146"/>
      <c r="Z25" s="146"/>
      <c r="AA25" s="148">
        <f>IF(W25="SELECIONE",0,IF(R25="não",0,IF(R25="selecione",0,((AG25*20%)*W25))*12))</f>
        <v>0</v>
      </c>
      <c r="AB25" s="148"/>
      <c r="AC25" s="148"/>
      <c r="AD25" s="148"/>
      <c r="AE25" s="148"/>
      <c r="AF25" s="48"/>
      <c r="AG25" s="142">
        <f>AL25/12</f>
        <v>260</v>
      </c>
      <c r="AH25" s="142"/>
      <c r="AI25" s="142"/>
      <c r="AJ25" s="143"/>
      <c r="AL25" s="144">
        <v>3120</v>
      </c>
      <c r="AM25" s="142"/>
      <c r="AN25" s="142"/>
      <c r="AO25" s="143"/>
      <c r="AR25" s="49" t="str">
        <f>IF(R25="SIM","S","N")</f>
        <v>N</v>
      </c>
      <c r="AS25" s="49">
        <f>IF($J$7=$AR$7,IF(R25&lt;&gt;$AR$7,1,0))</f>
        <v>0</v>
      </c>
      <c r="AT25" s="49">
        <f>IF($Y$7=$AR$7,IF(R25&lt;&gt;$AR$7,1,0))</f>
        <v>0</v>
      </c>
    </row>
    <row r="26" spans="2:46" ht="8.1" customHeight="1" x14ac:dyDescent="0.25">
      <c r="B26" s="3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38"/>
    </row>
    <row r="27" spans="2:46" s="49" customFormat="1" ht="50.1" customHeight="1" x14ac:dyDescent="0.25">
      <c r="B27" s="47"/>
      <c r="C27" s="145" t="str">
        <f>IF(AS35&gt;0,AT7,IF(J7=PERGUNTAS!C4,PERGUNTAS!C18,PERGUNTAS!D18))</f>
        <v>Sua corretora tem um APP personalizado (logo da corretora / relacionamento com clientes / entre outros) para vendas ao consumidor final? (segurado) *******</v>
      </c>
      <c r="D27" s="145"/>
      <c r="E27" s="145"/>
      <c r="F27" s="145"/>
      <c r="G27" s="145"/>
      <c r="H27" s="145"/>
      <c r="I27" s="145"/>
      <c r="J27" s="145"/>
      <c r="K27" s="145"/>
      <c r="L27" s="145"/>
      <c r="M27" s="145"/>
      <c r="N27" s="145"/>
      <c r="O27" s="145"/>
      <c r="P27" s="145"/>
      <c r="Q27" s="145"/>
      <c r="R27" s="146" t="s">
        <v>1</v>
      </c>
      <c r="S27" s="146"/>
      <c r="T27" s="146"/>
      <c r="U27" s="146"/>
      <c r="V27" s="146"/>
      <c r="W27" s="147" t="str">
        <f>IF(R27="não","GRATUITO PARA ASSOCIADOS DO SINCOR-SP","-")</f>
        <v>-</v>
      </c>
      <c r="X27" s="147"/>
      <c r="Y27" s="147"/>
      <c r="Z27" s="147"/>
      <c r="AA27" s="148">
        <f>IF(R27="não",AL27,IF(R27="selecione",0,0))</f>
        <v>0</v>
      </c>
      <c r="AB27" s="148"/>
      <c r="AC27" s="148"/>
      <c r="AD27" s="148"/>
      <c r="AE27" s="148"/>
      <c r="AF27" s="48"/>
      <c r="AG27" s="142">
        <v>135</v>
      </c>
      <c r="AH27" s="142"/>
      <c r="AI27" s="142"/>
      <c r="AJ27" s="143"/>
      <c r="AL27" s="144">
        <f>AG27*12</f>
        <v>1620</v>
      </c>
      <c r="AM27" s="142"/>
      <c r="AN27" s="142"/>
      <c r="AO27" s="143"/>
      <c r="AS27" s="49">
        <f>IF($J$7=$AR$7,IF(R27&lt;&gt;$AR$7,1,0))</f>
        <v>0</v>
      </c>
      <c r="AT27" s="49">
        <f>IF($Y$7=$AR$7,IF(R27&lt;&gt;$AR$7,1,0))</f>
        <v>0</v>
      </c>
    </row>
    <row r="28" spans="2:46" ht="8.1" customHeight="1" x14ac:dyDescent="0.25">
      <c r="B28" s="3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38"/>
    </row>
    <row r="29" spans="2:46" s="49" customFormat="1" ht="50.1" customHeight="1" x14ac:dyDescent="0.25">
      <c r="B29" s="47"/>
      <c r="C29" s="149" t="str">
        <f>IF(AS35&gt;0,AT7,IF(J7=PERGUNTAS!C4,PERGUNTAS!C20,PERGUNTAS!D20))</f>
        <v>Você, acionistas ou colaboradores desejam fazer o curso de habilitação da ENS nos próximos 12 meses? Se sim, quantas pessoas? ********</v>
      </c>
      <c r="D29" s="149"/>
      <c r="E29" s="149"/>
      <c r="F29" s="149"/>
      <c r="G29" s="149"/>
      <c r="H29" s="149"/>
      <c r="I29" s="149"/>
      <c r="J29" s="149"/>
      <c r="K29" s="149"/>
      <c r="L29" s="149"/>
      <c r="M29" s="149"/>
      <c r="N29" s="149"/>
      <c r="O29" s="149"/>
      <c r="P29" s="149"/>
      <c r="Q29" s="149"/>
      <c r="R29" s="152" t="s">
        <v>1</v>
      </c>
      <c r="S29" s="153"/>
      <c r="T29" s="153"/>
      <c r="U29" s="153"/>
      <c r="V29" s="154"/>
      <c r="W29" s="146" t="s">
        <v>1</v>
      </c>
      <c r="X29" s="146"/>
      <c r="Y29" s="146"/>
      <c r="Z29" s="146"/>
      <c r="AA29" s="148">
        <f>IF(R29="não",0,IF(W29="selecione",0,IF(R29="SELECIONE",0,IF(R29=0,0,IF(R29="selecione",0,AG29*20%)*12)*W29)))</f>
        <v>0</v>
      </c>
      <c r="AB29" s="148"/>
      <c r="AC29" s="148"/>
      <c r="AD29" s="148"/>
      <c r="AE29" s="148"/>
      <c r="AF29" s="48"/>
      <c r="AG29" s="142">
        <f>AL29/12</f>
        <v>493.66666666666669</v>
      </c>
      <c r="AH29" s="142"/>
      <c r="AI29" s="142"/>
      <c r="AJ29" s="143"/>
      <c r="AL29" s="144">
        <v>5924</v>
      </c>
      <c r="AM29" s="142"/>
      <c r="AN29" s="142"/>
      <c r="AO29" s="143"/>
      <c r="AR29" s="49" t="str">
        <f>IF(R29="SIM","S","N")</f>
        <v>N</v>
      </c>
      <c r="AS29" s="49">
        <f>IF($J$7=$AR$7,IF(R29&lt;&gt;$AR$7,1,0))</f>
        <v>0</v>
      </c>
      <c r="AT29" s="49">
        <f>IF($Y$7=$AR$7,IF(R29&lt;&gt;$AR$7,1,0))</f>
        <v>0</v>
      </c>
    </row>
    <row r="30" spans="2:46" ht="8.1" customHeight="1" x14ac:dyDescent="0.25">
      <c r="B30" s="3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38"/>
    </row>
    <row r="31" spans="2:46" s="49" customFormat="1" ht="50.1" customHeight="1" x14ac:dyDescent="0.25">
      <c r="B31" s="47"/>
      <c r="C31" s="149" t="str">
        <f>IF(AS35&gt;0,AT7,PERGUNTAS!C22)</f>
        <v>Associados ao Sincor-SP possuem descontos para compra de equipamentos de informática. Você gostaria desses descontos? *********</v>
      </c>
      <c r="D31" s="149"/>
      <c r="E31" s="149"/>
      <c r="F31" s="149"/>
      <c r="G31" s="149"/>
      <c r="H31" s="149"/>
      <c r="I31" s="149"/>
      <c r="J31" s="149"/>
      <c r="K31" s="149"/>
      <c r="L31" s="149"/>
      <c r="M31" s="149"/>
      <c r="N31" s="149"/>
      <c r="O31" s="149"/>
      <c r="P31" s="149"/>
      <c r="Q31" s="149"/>
      <c r="R31" s="146" t="s">
        <v>1</v>
      </c>
      <c r="S31" s="146"/>
      <c r="T31" s="146"/>
      <c r="U31" s="146"/>
      <c r="V31" s="146"/>
      <c r="W31" s="151" t="s">
        <v>12</v>
      </c>
      <c r="X31" s="151"/>
      <c r="Y31" s="151"/>
      <c r="Z31" s="151"/>
      <c r="AA31" s="148">
        <f>IF(AS35&gt;1,0,IF(R31="não",0,IF(R31="selecione",0,AG31)*12))</f>
        <v>0</v>
      </c>
      <c r="AB31" s="148"/>
      <c r="AC31" s="148"/>
      <c r="AD31" s="148"/>
      <c r="AE31" s="148"/>
      <c r="AF31" s="48"/>
      <c r="AG31" s="142">
        <f>AL31/12</f>
        <v>16.666666666666668</v>
      </c>
      <c r="AH31" s="142"/>
      <c r="AI31" s="142"/>
      <c r="AJ31" s="143"/>
      <c r="AL31" s="144">
        <v>200</v>
      </c>
      <c r="AM31" s="142"/>
      <c r="AN31" s="142"/>
      <c r="AO31" s="143"/>
      <c r="AS31" s="49">
        <f>IF($J$7=$AR$7,IF(R31&lt;&gt;$AR$7,1,0))</f>
        <v>0</v>
      </c>
      <c r="AT31" s="49">
        <f>IF($Y$7=$AR$7,IF(R31&lt;&gt;$AR$7,1,0))</f>
        <v>0</v>
      </c>
    </row>
    <row r="32" spans="2:46" ht="8.1" customHeight="1" x14ac:dyDescent="0.25">
      <c r="B32" s="3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38"/>
    </row>
    <row r="33" spans="2:46" s="49" customFormat="1" ht="50.1" hidden="1" customHeight="1" x14ac:dyDescent="0.25">
      <c r="B33" s="47"/>
      <c r="C33" s="149" t="str">
        <f>IF(AS35&gt;0,AT7,IF(J7=PERGUNTAS!C4,PERGUNTAS!C24,PERGUNTAS!D24))</f>
        <v>Você ou acionistas possuem o plano de Saúde do Sincare?  (Reduza custos agora mesmo - cote online, basta clicar no banner neste formulário) **********</v>
      </c>
      <c r="D33" s="149"/>
      <c r="E33" s="149"/>
      <c r="F33" s="149"/>
      <c r="G33" s="149"/>
      <c r="H33" s="149"/>
      <c r="I33" s="149"/>
      <c r="J33" s="149"/>
      <c r="K33" s="149"/>
      <c r="L33" s="149"/>
      <c r="M33" s="149"/>
      <c r="N33" s="149"/>
      <c r="O33" s="149"/>
      <c r="P33" s="149"/>
      <c r="Q33" s="149"/>
      <c r="R33" s="146" t="s">
        <v>1</v>
      </c>
      <c r="S33" s="146"/>
      <c r="T33" s="146"/>
      <c r="U33" s="146"/>
      <c r="V33" s="146"/>
      <c r="W33" s="150" t="str">
        <f>IF(R33="não","CONDIÇÃO ESPECIAL PARA ASSOCIADOS DO SINCOR-SP","-")</f>
        <v>-</v>
      </c>
      <c r="X33" s="150"/>
      <c r="Y33" s="150"/>
      <c r="Z33" s="150"/>
      <c r="AA33" s="148">
        <f>IF(R33="SIM",0,IF(R33="selecione",0,AG33)*12)</f>
        <v>0</v>
      </c>
      <c r="AB33" s="148"/>
      <c r="AC33" s="148"/>
      <c r="AD33" s="148"/>
      <c r="AE33" s="148"/>
      <c r="AF33" s="48"/>
      <c r="AG33" s="142">
        <f>AL33/12</f>
        <v>300</v>
      </c>
      <c r="AH33" s="142"/>
      <c r="AI33" s="142"/>
      <c r="AJ33" s="143"/>
      <c r="AL33" s="144">
        <f>300*12</f>
        <v>3600</v>
      </c>
      <c r="AM33" s="142"/>
      <c r="AN33" s="142"/>
      <c r="AO33" s="143"/>
      <c r="AS33" s="49">
        <f>IF($J$7=$AR$7,IF(R33&lt;&gt;$AR$7,1,0))</f>
        <v>0</v>
      </c>
      <c r="AT33" s="49">
        <f>IF($Y$7=$AR$7,IF(R33&lt;&gt;$AR$7,1,0))</f>
        <v>0</v>
      </c>
    </row>
    <row r="34" spans="2:46" ht="8.1" customHeight="1" thickBot="1" x14ac:dyDescent="0.3">
      <c r="B34" s="3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38"/>
    </row>
    <row r="35" spans="2:46" ht="20.100000000000001" customHeight="1" thickBot="1" x14ac:dyDescent="0.3">
      <c r="B35" s="34"/>
      <c r="C35" s="44"/>
      <c r="D35" s="44"/>
      <c r="E35" s="44"/>
      <c r="F35" s="44"/>
      <c r="G35" s="44"/>
      <c r="H35" s="44"/>
      <c r="I35" s="44"/>
      <c r="J35" s="44"/>
      <c r="K35" s="44"/>
      <c r="L35" s="137" t="s">
        <v>28</v>
      </c>
      <c r="M35" s="138"/>
      <c r="N35" s="138"/>
      <c r="O35" s="138"/>
      <c r="P35" s="138"/>
      <c r="Q35" s="138"/>
      <c r="R35" s="138"/>
      <c r="S35" s="138"/>
      <c r="T35" s="138"/>
      <c r="U35" s="138"/>
      <c r="V35" s="138"/>
      <c r="W35" s="138"/>
      <c r="X35" s="138"/>
      <c r="Y35" s="138"/>
      <c r="Z35" s="138"/>
      <c r="AA35" s="139">
        <f>IF(AS35&gt;0,"INF. PENDENTE",SUM(AA15:AE33))</f>
        <v>0</v>
      </c>
      <c r="AB35" s="139"/>
      <c r="AC35" s="140"/>
      <c r="AD35" s="140"/>
      <c r="AE35" s="141"/>
      <c r="AF35" s="38"/>
      <c r="AS35" s="86">
        <f>SUM(AS15:AT33)</f>
        <v>0</v>
      </c>
    </row>
    <row r="36" spans="2:46" x14ac:dyDescent="0.25">
      <c r="B36" s="3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38"/>
    </row>
    <row r="37" spans="2:46" s="49" customFormat="1" ht="36.75" customHeight="1" x14ac:dyDescent="0.25">
      <c r="B37" s="47"/>
      <c r="C37" s="180" t="str">
        <f>IF(AS35&gt;0,AT7,"Indique a opção para contribuição da sua associativa ao Sincor-SP")</f>
        <v>Indique a opção para contribuição da sua associativa ao Sincor-SP</v>
      </c>
      <c r="D37" s="180"/>
      <c r="E37" s="180"/>
      <c r="F37" s="180"/>
      <c r="G37" s="180"/>
      <c r="H37" s="180"/>
      <c r="I37" s="180"/>
      <c r="J37" s="180"/>
      <c r="K37" s="180"/>
      <c r="L37" s="180"/>
      <c r="M37" s="180"/>
      <c r="N37" s="180"/>
      <c r="O37" s="180"/>
      <c r="P37" s="180"/>
      <c r="Q37" s="180"/>
      <c r="R37" s="181" t="s">
        <v>1</v>
      </c>
      <c r="S37" s="181"/>
      <c r="T37" s="181"/>
      <c r="U37" s="181"/>
      <c r="V37" s="181"/>
      <c r="W37" s="182"/>
      <c r="X37" s="182"/>
      <c r="Y37" s="182"/>
      <c r="Z37" s="182"/>
      <c r="AA37" s="183"/>
      <c r="AB37" s="183"/>
      <c r="AC37" s="183"/>
      <c r="AD37" s="183"/>
      <c r="AE37" s="183"/>
      <c r="AF37" s="48"/>
      <c r="AG37" s="142"/>
      <c r="AH37" s="142"/>
      <c r="AI37" s="142"/>
      <c r="AJ37" s="143"/>
      <c r="AL37" s="144">
        <f>AA39/12</f>
        <v>0</v>
      </c>
      <c r="AM37" s="142"/>
      <c r="AN37" s="142"/>
      <c r="AO37" s="143"/>
    </row>
    <row r="38" spans="2:46" ht="15.75" thickBot="1" x14ac:dyDescent="0.3">
      <c r="B38" s="3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53"/>
      <c r="AB38" s="53"/>
      <c r="AC38" s="54"/>
      <c r="AD38" s="54"/>
      <c r="AE38" s="54"/>
      <c r="AF38" s="38"/>
    </row>
    <row r="39" spans="2:46" s="58" customFormat="1" ht="20.100000000000001" customHeight="1" thickBot="1" x14ac:dyDescent="0.3">
      <c r="B39" s="55"/>
      <c r="C39" s="56"/>
      <c r="D39" s="56"/>
      <c r="E39" s="56"/>
      <c r="F39" s="56"/>
      <c r="G39" s="56"/>
      <c r="H39" s="56"/>
      <c r="I39" s="56"/>
      <c r="J39" s="56"/>
      <c r="K39" s="56"/>
      <c r="L39" s="167" t="s">
        <v>31</v>
      </c>
      <c r="M39" s="168"/>
      <c r="N39" s="168"/>
      <c r="O39" s="168"/>
      <c r="P39" s="168"/>
      <c r="Q39" s="168"/>
      <c r="R39" s="168"/>
      <c r="S39" s="168"/>
      <c r="T39" s="168"/>
      <c r="U39" s="168"/>
      <c r="V39" s="168"/>
      <c r="W39" s="168"/>
      <c r="X39" s="168"/>
      <c r="Y39" s="168"/>
      <c r="Z39" s="168"/>
      <c r="AA39" s="169">
        <f>IF(AS35&gt;0,"INF. PENDENTE",IF(AA35=0,0,IF(R37="SELECIONE",0,'BASE DE DADOS'!G11)))</f>
        <v>0</v>
      </c>
      <c r="AB39" s="169"/>
      <c r="AC39" s="170"/>
      <c r="AD39" s="170"/>
      <c r="AE39" s="171"/>
      <c r="AF39" s="57"/>
    </row>
    <row r="40" spans="2:46" ht="15.75" thickBot="1" x14ac:dyDescent="0.3">
      <c r="B40" s="3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53"/>
      <c r="AB40" s="53"/>
      <c r="AC40" s="54"/>
      <c r="AD40" s="54"/>
      <c r="AE40" s="54"/>
      <c r="AF40" s="38"/>
    </row>
    <row r="41" spans="2:46" ht="15" customHeight="1" x14ac:dyDescent="0.25">
      <c r="B41" s="34"/>
      <c r="C41" s="44"/>
      <c r="D41" s="44"/>
      <c r="E41" s="44"/>
      <c r="F41" s="44"/>
      <c r="G41" s="44"/>
      <c r="H41" s="44"/>
      <c r="I41" s="44"/>
      <c r="J41" s="44"/>
      <c r="K41" s="44"/>
      <c r="L41" s="172" t="str">
        <f>IF(AS35&gt;0,AT7,IF(R37="SELECIONE","SELECIONE A FORMA DE PAGAMENTO DESEJADA PELO CLIENTE",IF(AA41&lt;1,"UTILIZE MAIS BENEFÍCIOS PARA CHEGAR AO BREAK EVEN DE CÁLCULO",IF(AA41&gt;1,"PARABÉNS! SUA POTENCIAL MARGEM DE DESCONTOS ULTRAPASSOU O VALOR DA SUA ASSOCIATIVA! "))))</f>
        <v>SELECIONE A FORMA DE PAGAMENTO DESEJADA PELO CLIENTE</v>
      </c>
      <c r="M41" s="173"/>
      <c r="N41" s="173"/>
      <c r="O41" s="173"/>
      <c r="P41" s="173"/>
      <c r="Q41" s="173"/>
      <c r="R41" s="173"/>
      <c r="S41" s="173"/>
      <c r="T41" s="173"/>
      <c r="U41" s="173"/>
      <c r="V41" s="173"/>
      <c r="W41" s="173"/>
      <c r="X41" s="173"/>
      <c r="Y41" s="173"/>
      <c r="Z41" s="173"/>
      <c r="AA41" s="176">
        <f>IF(AS35&gt;0,"INFORMAÇÃO PENDENTE",IF(R37="SELECIONE",0,AA35-AA39))</f>
        <v>0</v>
      </c>
      <c r="AB41" s="176"/>
      <c r="AC41" s="176"/>
      <c r="AD41" s="176"/>
      <c r="AE41" s="177"/>
      <c r="AF41" s="38"/>
    </row>
    <row r="42" spans="2:46" ht="15.75" thickBot="1" x14ac:dyDescent="0.3">
      <c r="B42" s="34"/>
      <c r="C42" s="44"/>
      <c r="D42" s="44"/>
      <c r="E42" s="44"/>
      <c r="F42" s="44"/>
      <c r="G42" s="44"/>
      <c r="H42" s="44"/>
      <c r="I42" s="44"/>
      <c r="J42" s="44"/>
      <c r="K42" s="44"/>
      <c r="L42" s="174"/>
      <c r="M42" s="175"/>
      <c r="N42" s="175"/>
      <c r="O42" s="175"/>
      <c r="P42" s="175"/>
      <c r="Q42" s="175"/>
      <c r="R42" s="175"/>
      <c r="S42" s="175"/>
      <c r="T42" s="175"/>
      <c r="U42" s="175"/>
      <c r="V42" s="175"/>
      <c r="W42" s="175"/>
      <c r="X42" s="175"/>
      <c r="Y42" s="175"/>
      <c r="Z42" s="175"/>
      <c r="AA42" s="178"/>
      <c r="AB42" s="178"/>
      <c r="AC42" s="178"/>
      <c r="AD42" s="178"/>
      <c r="AE42" s="179"/>
      <c r="AF42" s="38"/>
    </row>
    <row r="43" spans="2:46" ht="17.100000000000001" customHeight="1" x14ac:dyDescent="0.25">
      <c r="B43" s="3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53"/>
      <c r="AB43" s="53"/>
      <c r="AC43" s="54"/>
      <c r="AD43" s="54"/>
      <c r="AE43" s="54"/>
      <c r="AF43" s="38"/>
    </row>
    <row r="44" spans="2:46" ht="17.100000000000001" customHeight="1" x14ac:dyDescent="0.3">
      <c r="B44" s="34"/>
      <c r="C44" s="156" t="str">
        <f>IF('BASE DE DADOS'!J41&lt;&gt;0,'BASE DE DADOS'!J41,IF(R37="MENSAL - BOLETO","PAGUE NO CARTÃO DE CRÉDITO E OBTENHA 5% DE DESCONTO!"," "))</f>
        <v xml:space="preserve"> </v>
      </c>
      <c r="D44" s="156"/>
      <c r="E44" s="156"/>
      <c r="F44" s="156"/>
      <c r="G44" s="156"/>
      <c r="H44" s="156"/>
      <c r="I44" s="156"/>
      <c r="J44" s="156"/>
      <c r="K44" s="156"/>
      <c r="L44" s="156"/>
      <c r="M44" s="156"/>
      <c r="N44" s="156"/>
      <c r="O44" s="156"/>
      <c r="P44" s="156"/>
      <c r="Q44" s="156"/>
      <c r="R44" s="156"/>
      <c r="S44" s="156"/>
      <c r="T44" s="156"/>
      <c r="U44" s="156"/>
      <c r="V44" s="156"/>
      <c r="W44" s="156"/>
      <c r="X44" s="156"/>
      <c r="Y44" s="156"/>
      <c r="Z44" s="156"/>
      <c r="AA44" s="156"/>
      <c r="AB44" s="156"/>
      <c r="AC44" s="156"/>
      <c r="AD44" s="156"/>
      <c r="AE44" s="156"/>
      <c r="AF44" s="38"/>
    </row>
    <row r="45" spans="2:46" ht="17.100000000000001" customHeight="1" x14ac:dyDescent="0.25">
      <c r="B45" s="3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38"/>
    </row>
    <row r="46" spans="2:46" ht="17.100000000000001" customHeight="1" x14ac:dyDescent="0.25">
      <c r="B46" s="3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38"/>
    </row>
    <row r="47" spans="2:46" ht="17.100000000000001" customHeight="1" x14ac:dyDescent="0.25">
      <c r="B47" s="3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38"/>
    </row>
    <row r="48" spans="2:46" ht="17.100000000000001" customHeight="1" x14ac:dyDescent="0.25">
      <c r="B48" s="3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38"/>
    </row>
    <row r="49" spans="2:38" ht="17.100000000000001" customHeight="1" x14ac:dyDescent="0.25">
      <c r="B49" s="3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38"/>
    </row>
    <row r="50" spans="2:38" ht="17.100000000000001" customHeight="1" x14ac:dyDescent="0.25">
      <c r="B50" s="3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38"/>
    </row>
    <row r="51" spans="2:38" ht="17.100000000000001" customHeight="1" x14ac:dyDescent="0.25">
      <c r="B51" s="3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38"/>
    </row>
    <row r="52" spans="2:38" ht="17.100000000000001" customHeight="1" x14ac:dyDescent="0.25">
      <c r="B52" s="3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38"/>
    </row>
    <row r="53" spans="2:38" ht="17.100000000000001" customHeight="1" x14ac:dyDescent="0.25">
      <c r="B53" s="3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38"/>
    </row>
    <row r="54" spans="2:38" s="49" customFormat="1" x14ac:dyDescent="0.25">
      <c r="B54" s="47"/>
      <c r="C54" s="83" t="s">
        <v>94</v>
      </c>
      <c r="D54" s="163" t="s">
        <v>95</v>
      </c>
      <c r="E54" s="164"/>
      <c r="F54" s="164"/>
      <c r="G54" s="164"/>
      <c r="H54" s="164"/>
      <c r="I54" s="164"/>
      <c r="J54" s="164"/>
      <c r="K54" s="164"/>
      <c r="L54" s="164"/>
      <c r="M54" s="164"/>
      <c r="N54" s="164"/>
      <c r="O54" s="164"/>
      <c r="P54" s="164"/>
      <c r="Q54" s="164"/>
      <c r="R54" s="164"/>
      <c r="S54" s="164"/>
      <c r="T54" s="164"/>
      <c r="U54" s="164"/>
      <c r="V54" s="164"/>
      <c r="W54" s="164"/>
      <c r="X54" s="164"/>
      <c r="Y54" s="164"/>
      <c r="Z54" s="164"/>
      <c r="AA54" s="164"/>
      <c r="AB54" s="164"/>
      <c r="AC54" s="164"/>
      <c r="AD54" s="164"/>
      <c r="AE54" s="165"/>
      <c r="AF54" s="48"/>
    </row>
    <row r="55" spans="2:38" s="49" customFormat="1" ht="5.0999999999999996" customHeight="1" x14ac:dyDescent="0.25">
      <c r="B55" s="47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  <c r="AB55" s="65"/>
      <c r="AC55" s="65"/>
      <c r="AD55" s="65"/>
      <c r="AE55" s="65"/>
      <c r="AF55" s="48"/>
      <c r="AL55" s="82"/>
    </row>
    <row r="56" spans="2:38" s="49" customFormat="1" x14ac:dyDescent="0.25">
      <c r="B56" s="47"/>
      <c r="C56" s="59" t="s">
        <v>8</v>
      </c>
      <c r="D56" s="157" t="s">
        <v>74</v>
      </c>
      <c r="E56" s="158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9"/>
      <c r="AF56" s="48"/>
    </row>
    <row r="57" spans="2:38" s="49" customFormat="1" ht="5.0999999999999996" customHeight="1" x14ac:dyDescent="0.25">
      <c r="B57" s="47"/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5"/>
      <c r="AB57" s="65"/>
      <c r="AC57" s="65"/>
      <c r="AD57" s="65"/>
      <c r="AE57" s="65"/>
      <c r="AF57" s="48"/>
      <c r="AL57" s="82"/>
    </row>
    <row r="58" spans="2:38" s="49" customFormat="1" x14ac:dyDescent="0.25">
      <c r="B58" s="47"/>
      <c r="C58" s="59" t="s">
        <v>9</v>
      </c>
      <c r="D58" s="157" t="s">
        <v>19</v>
      </c>
      <c r="E58" s="158"/>
      <c r="F58" s="158"/>
      <c r="G58" s="158"/>
      <c r="H58" s="158"/>
      <c r="I58" s="158"/>
      <c r="J58" s="158"/>
      <c r="K58" s="158"/>
      <c r="L58" s="158"/>
      <c r="M58" s="158"/>
      <c r="N58" s="158"/>
      <c r="O58" s="158"/>
      <c r="P58" s="158"/>
      <c r="Q58" s="158"/>
      <c r="R58" s="158"/>
      <c r="S58" s="158"/>
      <c r="T58" s="158"/>
      <c r="U58" s="158"/>
      <c r="V58" s="158"/>
      <c r="W58" s="158"/>
      <c r="X58" s="158"/>
      <c r="Y58" s="158"/>
      <c r="Z58" s="158"/>
      <c r="AA58" s="158"/>
      <c r="AB58" s="158"/>
      <c r="AC58" s="158"/>
      <c r="AD58" s="158"/>
      <c r="AE58" s="159"/>
      <c r="AF58" s="48"/>
    </row>
    <row r="59" spans="2:38" s="49" customFormat="1" ht="5.0999999999999996" customHeight="1" x14ac:dyDescent="0.25">
      <c r="B59" s="47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48"/>
    </row>
    <row r="60" spans="2:38" s="49" customFormat="1" ht="30" customHeight="1" x14ac:dyDescent="0.25">
      <c r="B60" s="47"/>
      <c r="C60" s="59" t="s">
        <v>13</v>
      </c>
      <c r="D60" s="160" t="s">
        <v>75</v>
      </c>
      <c r="E60" s="161"/>
      <c r="F60" s="161"/>
      <c r="G60" s="161"/>
      <c r="H60" s="161"/>
      <c r="I60" s="161"/>
      <c r="J60" s="161"/>
      <c r="K60" s="161"/>
      <c r="L60" s="161"/>
      <c r="M60" s="161"/>
      <c r="N60" s="161"/>
      <c r="O60" s="161"/>
      <c r="P60" s="161"/>
      <c r="Q60" s="161"/>
      <c r="R60" s="161"/>
      <c r="S60" s="161"/>
      <c r="T60" s="161"/>
      <c r="U60" s="161"/>
      <c r="V60" s="161"/>
      <c r="W60" s="161"/>
      <c r="X60" s="161"/>
      <c r="Y60" s="161"/>
      <c r="Z60" s="161"/>
      <c r="AA60" s="161"/>
      <c r="AB60" s="161"/>
      <c r="AC60" s="161"/>
      <c r="AD60" s="161"/>
      <c r="AE60" s="162"/>
      <c r="AF60" s="48"/>
    </row>
    <row r="61" spans="2:38" s="49" customFormat="1" ht="5.0999999999999996" customHeight="1" x14ac:dyDescent="0.25">
      <c r="B61" s="47"/>
      <c r="C61" s="65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84"/>
      <c r="T61" s="84"/>
      <c r="U61" s="84"/>
      <c r="V61" s="84"/>
      <c r="W61" s="84"/>
      <c r="X61" s="84"/>
      <c r="Y61" s="84"/>
      <c r="Z61" s="84"/>
      <c r="AA61" s="84"/>
      <c r="AB61" s="84"/>
      <c r="AC61" s="84"/>
      <c r="AD61" s="84"/>
      <c r="AE61" s="84"/>
      <c r="AF61" s="48"/>
    </row>
    <row r="62" spans="2:38" s="49" customFormat="1" ht="30" customHeight="1" x14ac:dyDescent="0.25">
      <c r="B62" s="47"/>
      <c r="C62" s="59" t="s">
        <v>18</v>
      </c>
      <c r="D62" s="160" t="s">
        <v>76</v>
      </c>
      <c r="E62" s="161"/>
      <c r="F62" s="161"/>
      <c r="G62" s="161"/>
      <c r="H62" s="161"/>
      <c r="I62" s="161"/>
      <c r="J62" s="161"/>
      <c r="K62" s="161"/>
      <c r="L62" s="161"/>
      <c r="M62" s="161"/>
      <c r="N62" s="161"/>
      <c r="O62" s="161"/>
      <c r="P62" s="161"/>
      <c r="Q62" s="161"/>
      <c r="R62" s="161"/>
      <c r="S62" s="161"/>
      <c r="T62" s="161"/>
      <c r="U62" s="161"/>
      <c r="V62" s="161"/>
      <c r="W62" s="161"/>
      <c r="X62" s="161"/>
      <c r="Y62" s="161"/>
      <c r="Z62" s="161"/>
      <c r="AA62" s="161"/>
      <c r="AB62" s="161"/>
      <c r="AC62" s="161"/>
      <c r="AD62" s="161"/>
      <c r="AE62" s="162"/>
      <c r="AF62" s="48"/>
    </row>
    <row r="63" spans="2:38" s="49" customFormat="1" ht="5.0999999999999996" customHeight="1" x14ac:dyDescent="0.25">
      <c r="B63" s="47"/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5"/>
      <c r="Z63" s="65"/>
      <c r="AA63" s="65"/>
      <c r="AB63" s="65"/>
      <c r="AC63" s="65"/>
      <c r="AD63" s="65"/>
      <c r="AE63" s="65"/>
      <c r="AF63" s="48"/>
    </row>
    <row r="64" spans="2:38" s="49" customFormat="1" ht="30" customHeight="1" x14ac:dyDescent="0.25">
      <c r="B64" s="47"/>
      <c r="C64" s="59" t="s">
        <v>21</v>
      </c>
      <c r="D64" s="157" t="s">
        <v>34</v>
      </c>
      <c r="E64" s="158"/>
      <c r="F64" s="158"/>
      <c r="G64" s="158"/>
      <c r="H64" s="158"/>
      <c r="I64" s="158"/>
      <c r="J64" s="158"/>
      <c r="K64" s="158"/>
      <c r="L64" s="158"/>
      <c r="M64" s="158"/>
      <c r="N64" s="158"/>
      <c r="O64" s="158"/>
      <c r="P64" s="158"/>
      <c r="Q64" s="158"/>
      <c r="R64" s="158"/>
      <c r="S64" s="158"/>
      <c r="T64" s="158"/>
      <c r="U64" s="158"/>
      <c r="V64" s="158"/>
      <c r="W64" s="158"/>
      <c r="X64" s="158"/>
      <c r="Y64" s="158"/>
      <c r="Z64" s="158"/>
      <c r="AA64" s="158"/>
      <c r="AB64" s="158"/>
      <c r="AC64" s="158"/>
      <c r="AD64" s="158"/>
      <c r="AE64" s="159"/>
      <c r="AF64" s="48"/>
    </row>
    <row r="65" spans="2:32" s="49" customFormat="1" ht="5.0999999999999996" customHeight="1" x14ac:dyDescent="0.25">
      <c r="B65" s="47"/>
      <c r="C65" s="65"/>
      <c r="D65" s="65"/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/>
      <c r="V65" s="65"/>
      <c r="W65" s="65"/>
      <c r="X65" s="65"/>
      <c r="Y65" s="65"/>
      <c r="Z65" s="65"/>
      <c r="AA65" s="65"/>
      <c r="AB65" s="65"/>
      <c r="AC65" s="65"/>
      <c r="AD65" s="65"/>
      <c r="AE65" s="65"/>
      <c r="AF65" s="48"/>
    </row>
    <row r="66" spans="2:32" s="49" customFormat="1" ht="30" customHeight="1" x14ac:dyDescent="0.25">
      <c r="B66" s="47"/>
      <c r="C66" s="61" t="s">
        <v>44</v>
      </c>
      <c r="D66" s="157" t="s">
        <v>46</v>
      </c>
      <c r="E66" s="158"/>
      <c r="F66" s="158"/>
      <c r="G66" s="158"/>
      <c r="H66" s="158"/>
      <c r="I66" s="158"/>
      <c r="J66" s="158"/>
      <c r="K66" s="158"/>
      <c r="L66" s="158"/>
      <c r="M66" s="158"/>
      <c r="N66" s="158"/>
      <c r="O66" s="158"/>
      <c r="P66" s="158"/>
      <c r="Q66" s="158"/>
      <c r="R66" s="158"/>
      <c r="S66" s="158"/>
      <c r="T66" s="158"/>
      <c r="U66" s="158"/>
      <c r="V66" s="158"/>
      <c r="W66" s="158"/>
      <c r="X66" s="158"/>
      <c r="Y66" s="158"/>
      <c r="Z66" s="158"/>
      <c r="AA66" s="158"/>
      <c r="AB66" s="158"/>
      <c r="AC66" s="158"/>
      <c r="AD66" s="158"/>
      <c r="AE66" s="159"/>
      <c r="AF66" s="48"/>
    </row>
    <row r="67" spans="2:32" s="49" customFormat="1" ht="5.0999999999999996" customHeight="1" x14ac:dyDescent="0.25">
      <c r="B67" s="47"/>
      <c r="C67" s="65"/>
      <c r="D67" s="65"/>
      <c r="E67" s="65"/>
      <c r="F67" s="65"/>
      <c r="G67" s="65"/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65"/>
      <c r="S67" s="65"/>
      <c r="T67" s="65"/>
      <c r="U67" s="65"/>
      <c r="V67" s="65"/>
      <c r="W67" s="65"/>
      <c r="X67" s="65"/>
      <c r="Y67" s="65"/>
      <c r="Z67" s="65"/>
      <c r="AA67" s="65"/>
      <c r="AB67" s="65"/>
      <c r="AC67" s="65"/>
      <c r="AD67" s="65"/>
      <c r="AE67" s="65"/>
      <c r="AF67" s="48"/>
    </row>
    <row r="68" spans="2:32" s="49" customFormat="1" ht="30" customHeight="1" x14ac:dyDescent="0.25">
      <c r="B68" s="47"/>
      <c r="C68" s="61" t="s">
        <v>48</v>
      </c>
      <c r="D68" s="157" t="s">
        <v>100</v>
      </c>
      <c r="E68" s="158"/>
      <c r="F68" s="158"/>
      <c r="G68" s="158"/>
      <c r="H68" s="158"/>
      <c r="I68" s="158"/>
      <c r="J68" s="158"/>
      <c r="K68" s="158"/>
      <c r="L68" s="158"/>
      <c r="M68" s="158"/>
      <c r="N68" s="158"/>
      <c r="O68" s="158"/>
      <c r="P68" s="158"/>
      <c r="Q68" s="158"/>
      <c r="R68" s="158"/>
      <c r="S68" s="158"/>
      <c r="T68" s="158"/>
      <c r="U68" s="158"/>
      <c r="V68" s="158"/>
      <c r="W68" s="158"/>
      <c r="X68" s="158"/>
      <c r="Y68" s="158"/>
      <c r="Z68" s="158"/>
      <c r="AA68" s="158"/>
      <c r="AB68" s="158"/>
      <c r="AC68" s="158"/>
      <c r="AD68" s="158"/>
      <c r="AE68" s="159"/>
      <c r="AF68" s="48"/>
    </row>
    <row r="69" spans="2:32" s="49" customFormat="1" ht="5.0999999999999996" customHeight="1" x14ac:dyDescent="0.25">
      <c r="B69" s="47"/>
      <c r="C69" s="65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65"/>
      <c r="T69" s="65"/>
      <c r="U69" s="65"/>
      <c r="V69" s="65"/>
      <c r="W69" s="65"/>
      <c r="X69" s="65"/>
      <c r="Y69" s="65"/>
      <c r="Z69" s="65"/>
      <c r="AA69" s="65"/>
      <c r="AB69" s="65"/>
      <c r="AC69" s="65"/>
      <c r="AD69" s="65"/>
      <c r="AE69" s="65"/>
      <c r="AF69" s="48"/>
    </row>
    <row r="70" spans="2:32" s="49" customFormat="1" ht="30" customHeight="1" x14ac:dyDescent="0.25">
      <c r="B70" s="47"/>
      <c r="C70" s="61" t="s">
        <v>85</v>
      </c>
      <c r="D70" s="157" t="s">
        <v>86</v>
      </c>
      <c r="E70" s="158"/>
      <c r="F70" s="158"/>
      <c r="G70" s="158"/>
      <c r="H70" s="158"/>
      <c r="I70" s="158"/>
      <c r="J70" s="158"/>
      <c r="K70" s="158"/>
      <c r="L70" s="158"/>
      <c r="M70" s="158"/>
      <c r="N70" s="158"/>
      <c r="O70" s="158"/>
      <c r="P70" s="158"/>
      <c r="Q70" s="158"/>
      <c r="R70" s="158"/>
      <c r="S70" s="158"/>
      <c r="T70" s="158"/>
      <c r="U70" s="158"/>
      <c r="V70" s="158"/>
      <c r="W70" s="158"/>
      <c r="X70" s="158"/>
      <c r="Y70" s="158"/>
      <c r="Z70" s="158"/>
      <c r="AA70" s="158"/>
      <c r="AB70" s="158"/>
      <c r="AC70" s="158"/>
      <c r="AD70" s="158"/>
      <c r="AE70" s="159"/>
      <c r="AF70" s="48"/>
    </row>
    <row r="71" spans="2:32" s="49" customFormat="1" ht="5.0999999999999996" customHeight="1" x14ac:dyDescent="0.25">
      <c r="B71" s="47"/>
      <c r="C71" s="65"/>
      <c r="D71" s="65"/>
      <c r="E71" s="65"/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5"/>
      <c r="S71" s="65"/>
      <c r="T71" s="65"/>
      <c r="U71" s="65"/>
      <c r="V71" s="65"/>
      <c r="W71" s="65"/>
      <c r="X71" s="65"/>
      <c r="Y71" s="65"/>
      <c r="Z71" s="65"/>
      <c r="AA71" s="65"/>
      <c r="AB71" s="65"/>
      <c r="AC71" s="65"/>
      <c r="AD71" s="65"/>
      <c r="AE71" s="65"/>
      <c r="AF71" s="48"/>
    </row>
    <row r="72" spans="2:32" s="49" customFormat="1" ht="30" customHeight="1" x14ac:dyDescent="0.25">
      <c r="B72" s="47"/>
      <c r="C72" s="61" t="s">
        <v>87</v>
      </c>
      <c r="D72" s="157" t="s">
        <v>96</v>
      </c>
      <c r="E72" s="158"/>
      <c r="F72" s="158"/>
      <c r="G72" s="158"/>
      <c r="H72" s="158"/>
      <c r="I72" s="158"/>
      <c r="J72" s="158"/>
      <c r="K72" s="158"/>
      <c r="L72" s="158"/>
      <c r="M72" s="158"/>
      <c r="N72" s="158"/>
      <c r="O72" s="158"/>
      <c r="P72" s="158"/>
      <c r="Q72" s="158"/>
      <c r="R72" s="158"/>
      <c r="S72" s="158"/>
      <c r="T72" s="158"/>
      <c r="U72" s="158"/>
      <c r="V72" s="158"/>
      <c r="W72" s="158"/>
      <c r="X72" s="158"/>
      <c r="Y72" s="158"/>
      <c r="Z72" s="158"/>
      <c r="AA72" s="158"/>
      <c r="AB72" s="158"/>
      <c r="AC72" s="158"/>
      <c r="AD72" s="158"/>
      <c r="AE72" s="159"/>
      <c r="AF72" s="48"/>
    </row>
    <row r="73" spans="2:32" s="49" customFormat="1" ht="5.0999999999999996" customHeight="1" x14ac:dyDescent="0.25">
      <c r="B73" s="47"/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65"/>
      <c r="T73" s="65"/>
      <c r="U73" s="65"/>
      <c r="V73" s="65"/>
      <c r="W73" s="65"/>
      <c r="X73" s="65"/>
      <c r="Y73" s="65"/>
      <c r="Z73" s="65"/>
      <c r="AA73" s="65"/>
      <c r="AB73" s="65"/>
      <c r="AC73" s="65"/>
      <c r="AD73" s="65"/>
      <c r="AE73" s="65"/>
      <c r="AF73" s="48"/>
    </row>
    <row r="74" spans="2:32" s="49" customFormat="1" ht="60" hidden="1" customHeight="1" x14ac:dyDescent="0.25">
      <c r="B74" s="47"/>
      <c r="C74" s="61" t="s">
        <v>92</v>
      </c>
      <c r="D74" s="157" t="s">
        <v>93</v>
      </c>
      <c r="E74" s="158"/>
      <c r="F74" s="158"/>
      <c r="G74" s="158"/>
      <c r="H74" s="158"/>
      <c r="I74" s="158"/>
      <c r="J74" s="158"/>
      <c r="K74" s="158"/>
      <c r="L74" s="158"/>
      <c r="M74" s="158"/>
      <c r="N74" s="158"/>
      <c r="O74" s="158"/>
      <c r="P74" s="158"/>
      <c r="Q74" s="158"/>
      <c r="R74" s="158"/>
      <c r="S74" s="158"/>
      <c r="T74" s="158"/>
      <c r="U74" s="158"/>
      <c r="V74" s="158"/>
      <c r="W74" s="158"/>
      <c r="X74" s="158"/>
      <c r="Y74" s="158"/>
      <c r="Z74" s="158"/>
      <c r="AA74" s="158"/>
      <c r="AB74" s="158"/>
      <c r="AC74" s="158"/>
      <c r="AD74" s="158"/>
      <c r="AE74" s="159"/>
      <c r="AF74" s="48"/>
    </row>
    <row r="75" spans="2:32" ht="9.9499999999999993" customHeight="1" thickBot="1" x14ac:dyDescent="0.3">
      <c r="B75" s="62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4"/>
    </row>
    <row r="76" spans="2:32" x14ac:dyDescent="0.25"/>
    <row r="77" spans="2:32" x14ac:dyDescent="0.25"/>
    <row r="78" spans="2:32" hidden="1" x14ac:dyDescent="0.25"/>
    <row r="79" spans="2:32" hidden="1" x14ac:dyDescent="0.25">
      <c r="O79" s="166"/>
      <c r="P79" s="166"/>
      <c r="Q79" s="166"/>
    </row>
    <row r="80" spans="2:32" hidden="1" x14ac:dyDescent="0.25">
      <c r="O80" s="155"/>
      <c r="P80" s="155"/>
      <c r="Q80" s="155"/>
    </row>
    <row r="81" spans="15:19" hidden="1" x14ac:dyDescent="0.25">
      <c r="O81" s="155"/>
      <c r="P81" s="155"/>
      <c r="Q81" s="155"/>
      <c r="R81" s="155"/>
      <c r="S81" s="155"/>
    </row>
  </sheetData>
  <sheetProtection algorithmName="SHA-512" hashValue="6nRo9EgThe/+aU1oSNG+4LkuuEKFhpeJq60uEvnHV/2FKkAChhPxutgTLzupA14pjf4dJ2yrnGsFnImA+YK3iw==" saltValue="NPfZJNbSxyBsIhbVL0/rYw==" spinCount="100000" sheet="1" objects="1" scenarios="1"/>
  <mergeCells count="101">
    <mergeCell ref="J3:AC5"/>
    <mergeCell ref="AD5:AE5"/>
    <mergeCell ref="R11:V13"/>
    <mergeCell ref="W11:Z13"/>
    <mergeCell ref="AA11:AE13"/>
    <mergeCell ref="J7:P7"/>
    <mergeCell ref="R9:AE9"/>
    <mergeCell ref="C19:Q19"/>
    <mergeCell ref="R19:V19"/>
    <mergeCell ref="W19:Z19"/>
    <mergeCell ref="AA19:AE19"/>
    <mergeCell ref="C7:I7"/>
    <mergeCell ref="R7:X7"/>
    <mergeCell ref="C9:I9"/>
    <mergeCell ref="J9:P9"/>
    <mergeCell ref="Y7:AE7"/>
    <mergeCell ref="AL13:AO13"/>
    <mergeCell ref="C15:Q15"/>
    <mergeCell ref="R15:V15"/>
    <mergeCell ref="W15:Z15"/>
    <mergeCell ref="AA15:AE15"/>
    <mergeCell ref="AG15:AJ15"/>
    <mergeCell ref="AL15:AO15"/>
    <mergeCell ref="AG13:AJ13"/>
    <mergeCell ref="C17:Q17"/>
    <mergeCell ref="R17:V17"/>
    <mergeCell ref="W17:Z17"/>
    <mergeCell ref="AA17:AE17"/>
    <mergeCell ref="AG17:AJ17"/>
    <mergeCell ref="AL17:AO17"/>
    <mergeCell ref="AG37:AJ37"/>
    <mergeCell ref="AL37:AO37"/>
    <mergeCell ref="L39:Z39"/>
    <mergeCell ref="AA39:AE39"/>
    <mergeCell ref="L41:Z42"/>
    <mergeCell ref="AA41:AE42"/>
    <mergeCell ref="C37:Q37"/>
    <mergeCell ref="R37:V37"/>
    <mergeCell ref="W37:Z37"/>
    <mergeCell ref="AA37:AE37"/>
    <mergeCell ref="O81:S81"/>
    <mergeCell ref="C44:AE44"/>
    <mergeCell ref="D56:AE56"/>
    <mergeCell ref="D58:AE58"/>
    <mergeCell ref="D60:AE60"/>
    <mergeCell ref="D62:AE62"/>
    <mergeCell ref="D64:AE64"/>
    <mergeCell ref="D70:AE70"/>
    <mergeCell ref="D68:AE68"/>
    <mergeCell ref="D72:AE72"/>
    <mergeCell ref="D74:AE74"/>
    <mergeCell ref="D54:AE54"/>
    <mergeCell ref="O80:Q80"/>
    <mergeCell ref="O79:Q79"/>
    <mergeCell ref="D66:AE66"/>
    <mergeCell ref="AG21:AJ21"/>
    <mergeCell ref="AL21:AO21"/>
    <mergeCell ref="C23:Q23"/>
    <mergeCell ref="R23:V23"/>
    <mergeCell ref="W23:Z23"/>
    <mergeCell ref="AL19:AO19"/>
    <mergeCell ref="C29:Q29"/>
    <mergeCell ref="R29:V29"/>
    <mergeCell ref="W29:Z29"/>
    <mergeCell ref="AA29:AE29"/>
    <mergeCell ref="AG19:AJ19"/>
    <mergeCell ref="AL25:AO25"/>
    <mergeCell ref="C25:Q25"/>
    <mergeCell ref="R25:V25"/>
    <mergeCell ref="W25:Z25"/>
    <mergeCell ref="AA25:AE25"/>
    <mergeCell ref="AG25:AJ25"/>
    <mergeCell ref="AA23:AE23"/>
    <mergeCell ref="AG23:AJ23"/>
    <mergeCell ref="AL23:AO23"/>
    <mergeCell ref="C21:Q21"/>
    <mergeCell ref="R21:V21"/>
    <mergeCell ref="W21:Z21"/>
    <mergeCell ref="AA21:AE21"/>
    <mergeCell ref="L35:Z35"/>
    <mergeCell ref="AA35:AE35"/>
    <mergeCell ref="AG29:AJ29"/>
    <mergeCell ref="AL29:AO29"/>
    <mergeCell ref="C27:Q27"/>
    <mergeCell ref="R27:V27"/>
    <mergeCell ref="W27:Z27"/>
    <mergeCell ref="AA27:AE27"/>
    <mergeCell ref="AG27:AJ27"/>
    <mergeCell ref="AL27:AO27"/>
    <mergeCell ref="AA31:AE31"/>
    <mergeCell ref="AG31:AJ31"/>
    <mergeCell ref="AL31:AO31"/>
    <mergeCell ref="C33:Q33"/>
    <mergeCell ref="R33:V33"/>
    <mergeCell ref="W33:Z33"/>
    <mergeCell ref="AA33:AE33"/>
    <mergeCell ref="AG33:AJ33"/>
    <mergeCell ref="AL33:AO33"/>
    <mergeCell ref="C31:Q31"/>
    <mergeCell ref="R31:V31"/>
    <mergeCell ref="W31:Z31"/>
  </mergeCells>
  <conditionalFormatting sqref="W27:Z27">
    <cfRule type="containsText" dxfId="1" priority="5" operator="containsText" text="GRATUITO PARA ASSOCIADOS DO SINCOR-SP">
      <formula>NOT(ISERROR(SEARCH("GRATUITO PARA ASSOCIADOS DO SINCOR-SP",W27)))</formula>
    </cfRule>
  </conditionalFormatting>
  <conditionalFormatting sqref="W33:Z33">
    <cfRule type="containsText" dxfId="0" priority="1" operator="containsText" text="CONDIÇÃO ESPECIAL PARA ASSOCIADOS DO SINCOR-SP">
      <formula>NOT(ISERROR(SEARCH("CONDIÇÃO ESPECIAL PARA ASSOCIADOS DO SINCOR-SP",W33)))</formula>
    </cfRule>
  </conditionalFormatting>
  <dataValidations xWindow="373" yWindow="410" count="7">
    <dataValidation type="list" allowBlank="1" showInputMessage="1" showErrorMessage="1" sqref="R37:V37">
      <formula1>PGTO.</formula1>
    </dataValidation>
    <dataValidation type="list" allowBlank="1" showInputMessage="1" showErrorMessage="1" promptTitle="Indique o tipo de Contratação" prompt="Pessoa Física ou Jurídica" sqref="J7:P7">
      <formula1>TIPOPJ</formula1>
    </dataValidation>
    <dataValidation type="list" allowBlank="1" showInputMessage="1" showErrorMessage="1" errorTitle="Campo Numérico!" error="PF = 1_x000a_EIRELLI = 1_x000a_PESSOA JURÍDICA = 02 OU MAIS" promptTitle="Informe a quantidade sócios!" prompt="PF = 1_x000a_EIRELLI = 1_x000a_PESSOA JURÍDICA = 02 OU MAIS" sqref="Y7:AE7">
      <formula1>INDIRECT($AH$7)</formula1>
    </dataValidation>
    <dataValidation type="list" allowBlank="1" showInputMessage="1" showErrorMessage="1" errorTitle="Apenas Números!" promptTitle="Quantidade de Colaboradores" prompt="Selecione a quantidade de colaboradores." sqref="J9:P9">
      <formula1>SOCIOSPJ</formula1>
    </dataValidation>
    <dataValidation type="list" allowBlank="1" showInputMessage="1" showErrorMessage="1" sqref="W23:Z23">
      <formula1>INDIRECT($AR$23)</formula1>
    </dataValidation>
    <dataValidation type="list" allowBlank="1" showInputMessage="1" showErrorMessage="1" sqref="W25:Z25">
      <formula1>INDIRECT($AR$25)</formula1>
    </dataValidation>
    <dataValidation type="list" allowBlank="1" showInputMessage="1" showErrorMessage="1" sqref="W29:Z29">
      <formula1>INDIRECT($AR$29)</formula1>
    </dataValidation>
  </dataValidations>
  <pageMargins left="0.19685039370078741" right="0.15748031496062992" top="0.31496062992125984" bottom="0.16" header="0.31496062992125984" footer="0.21"/>
  <pageSetup paperSize="9" scale="57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xWindow="373" yWindow="410" count="3">
        <x14:dataValidation type="list" allowBlank="1" showInputMessage="1" showErrorMessage="1">
          <x14:formula1>
            <xm:f>'BASE DE DADOS'!$A$1:$A$3</xm:f>
          </x14:formula1>
          <xm:sqref>R15:V15 R21:V21 R19:V19 R25:V25 R23:V23 R27:V27 R29:V29 R31:V31</xm:sqref>
        </x14:dataValidation>
        <x14:dataValidation type="list" allowBlank="1" showInputMessage="1" showErrorMessage="1">
          <x14:formula1>
            <xm:f>'BASE DE DADOS'!$B$1:$B$36</xm:f>
          </x14:formula1>
          <xm:sqref>R17:V17</xm:sqref>
        </x14:dataValidation>
        <x14:dataValidation type="list" allowBlank="1" showInputMessage="1" showErrorMessage="1" promptTitle="Cote agora mesmo!" prompt="Link disponível no banner deste Formulário._x000a_https://www.sincare.org.br/">
          <x14:formula1>
            <xm:f>'BASE DE DADOS'!$A$1:$A$3</xm:f>
          </x14:formula1>
          <xm:sqref>R33:V33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>
    <pageSetUpPr fitToPage="1"/>
  </sheetPr>
  <dimension ref="B1:BD47"/>
  <sheetViews>
    <sheetView showGridLines="0" topLeftCell="A19" zoomScale="130" zoomScaleNormal="130" workbookViewId="0">
      <selection activeCell="W22" sqref="W22:Z22"/>
    </sheetView>
  </sheetViews>
  <sheetFormatPr defaultRowHeight="15" x14ac:dyDescent="0.25"/>
  <cols>
    <col min="1" max="2" width="3.7109375" style="30" customWidth="1"/>
    <col min="3" max="3" width="6" style="30" customWidth="1"/>
    <col min="4" max="42" width="3.7109375" style="30" customWidth="1"/>
    <col min="43" max="43" width="12.7109375" style="30" bestFit="1" customWidth="1"/>
    <col min="44" max="44" width="12.140625" style="30" bestFit="1" customWidth="1"/>
    <col min="45" max="52" width="3.7109375" style="30" customWidth="1"/>
    <col min="53" max="53" width="17.85546875" style="30" bestFit="1" customWidth="1"/>
    <col min="54" max="55" width="3.7109375" style="30" customWidth="1"/>
    <col min="56" max="56" width="15.140625" style="30" bestFit="1" customWidth="1"/>
    <col min="57" max="139" width="3.7109375" style="30" customWidth="1"/>
    <col min="140" max="16384" width="9.140625" style="30"/>
  </cols>
  <sheetData>
    <row r="1" spans="2:56" ht="15.75" thickBot="1" x14ac:dyDescent="0.3"/>
    <row r="2" spans="2:56" x14ac:dyDescent="0.25">
      <c r="B2" s="31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3"/>
    </row>
    <row r="3" spans="2:56" ht="21" customHeight="1" x14ac:dyDescent="0.25">
      <c r="B3" s="34"/>
      <c r="C3" s="35"/>
      <c r="D3" s="36"/>
      <c r="E3" s="36"/>
      <c r="F3" s="36"/>
      <c r="G3" s="36"/>
      <c r="H3" s="36"/>
      <c r="I3" s="36"/>
      <c r="J3" s="233" t="s">
        <v>0</v>
      </c>
      <c r="K3" s="233"/>
      <c r="L3" s="233"/>
      <c r="M3" s="233"/>
      <c r="N3" s="233"/>
      <c r="O3" s="233"/>
      <c r="P3" s="233"/>
      <c r="Q3" s="233"/>
      <c r="R3" s="233"/>
      <c r="S3" s="233"/>
      <c r="T3" s="233"/>
      <c r="U3" s="233"/>
      <c r="V3" s="233"/>
      <c r="W3" s="233"/>
      <c r="X3" s="233"/>
      <c r="Y3" s="233"/>
      <c r="Z3" s="233"/>
      <c r="AA3" s="233"/>
      <c r="AB3" s="233"/>
      <c r="AC3" s="233"/>
      <c r="AD3" s="36"/>
      <c r="AE3" s="37"/>
      <c r="AF3" s="38"/>
    </row>
    <row r="4" spans="2:56" ht="15" customHeight="1" x14ac:dyDescent="0.25">
      <c r="B4" s="34"/>
      <c r="C4" s="39"/>
      <c r="D4" s="40"/>
      <c r="E4" s="40"/>
      <c r="F4" s="40"/>
      <c r="G4" s="40"/>
      <c r="H4" s="40"/>
      <c r="I4" s="40"/>
      <c r="J4" s="234"/>
      <c r="K4" s="234"/>
      <c r="L4" s="234"/>
      <c r="M4" s="234"/>
      <c r="N4" s="234"/>
      <c r="O4" s="234"/>
      <c r="P4" s="234"/>
      <c r="Q4" s="234"/>
      <c r="R4" s="234"/>
      <c r="S4" s="234"/>
      <c r="T4" s="234"/>
      <c r="U4" s="234"/>
      <c r="V4" s="234"/>
      <c r="W4" s="234"/>
      <c r="X4" s="234"/>
      <c r="Y4" s="234"/>
      <c r="Z4" s="234"/>
      <c r="AA4" s="234"/>
      <c r="AB4" s="234"/>
      <c r="AC4" s="234"/>
      <c r="AD4" s="40"/>
      <c r="AE4" s="41"/>
      <c r="AF4" s="38"/>
    </row>
    <row r="5" spans="2:56" ht="15" customHeight="1" x14ac:dyDescent="0.25">
      <c r="B5" s="34"/>
      <c r="C5" s="42"/>
      <c r="D5" s="43"/>
      <c r="E5" s="43"/>
      <c r="F5" s="43"/>
      <c r="G5" s="43"/>
      <c r="H5" s="43"/>
      <c r="I5" s="43"/>
      <c r="J5" s="235"/>
      <c r="K5" s="235"/>
      <c r="L5" s="235"/>
      <c r="M5" s="235"/>
      <c r="N5" s="235"/>
      <c r="O5" s="235"/>
      <c r="P5" s="235"/>
      <c r="Q5" s="235"/>
      <c r="R5" s="235"/>
      <c r="S5" s="235"/>
      <c r="T5" s="235"/>
      <c r="U5" s="235"/>
      <c r="V5" s="235"/>
      <c r="W5" s="235"/>
      <c r="X5" s="235"/>
      <c r="Y5" s="235"/>
      <c r="Z5" s="235"/>
      <c r="AA5" s="235"/>
      <c r="AB5" s="235"/>
      <c r="AC5" s="235"/>
      <c r="AD5" s="236" t="s">
        <v>45</v>
      </c>
      <c r="AE5" s="237"/>
      <c r="AF5" s="38"/>
    </row>
    <row r="6" spans="2:56" x14ac:dyDescent="0.25">
      <c r="B6" s="3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38"/>
    </row>
    <row r="7" spans="2:56" x14ac:dyDescent="0.25">
      <c r="B7" s="3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238" t="s">
        <v>5</v>
      </c>
      <c r="S7" s="238"/>
      <c r="T7" s="238"/>
      <c r="U7" s="238"/>
      <c r="V7" s="238"/>
      <c r="W7" s="238" t="s">
        <v>53</v>
      </c>
      <c r="X7" s="238"/>
      <c r="Y7" s="238"/>
      <c r="Z7" s="238"/>
      <c r="AA7" s="240" t="s">
        <v>11</v>
      </c>
      <c r="AB7" s="240"/>
      <c r="AC7" s="240"/>
      <c r="AD7" s="240"/>
      <c r="AE7" s="240"/>
      <c r="AF7" s="38"/>
    </row>
    <row r="8" spans="2:56" x14ac:dyDescent="0.25">
      <c r="B8" s="3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238"/>
      <c r="S8" s="238"/>
      <c r="T8" s="238"/>
      <c r="U8" s="238"/>
      <c r="V8" s="238"/>
      <c r="W8" s="238"/>
      <c r="X8" s="238"/>
      <c r="Y8" s="238"/>
      <c r="Z8" s="238"/>
      <c r="AA8" s="240"/>
      <c r="AB8" s="240"/>
      <c r="AC8" s="240"/>
      <c r="AD8" s="240"/>
      <c r="AE8" s="240"/>
      <c r="AF8" s="38"/>
    </row>
    <row r="9" spans="2:56" x14ac:dyDescent="0.25">
      <c r="B9" s="3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239"/>
      <c r="S9" s="239"/>
      <c r="T9" s="239"/>
      <c r="U9" s="239"/>
      <c r="V9" s="239"/>
      <c r="W9" s="239"/>
      <c r="X9" s="239"/>
      <c r="Y9" s="239"/>
      <c r="Z9" s="239"/>
      <c r="AA9" s="241"/>
      <c r="AB9" s="241"/>
      <c r="AC9" s="241"/>
      <c r="AD9" s="241"/>
      <c r="AE9" s="241"/>
      <c r="AF9" s="38"/>
      <c r="AG9" s="185" t="s">
        <v>6</v>
      </c>
      <c r="AH9" s="185"/>
      <c r="AI9" s="185"/>
      <c r="AJ9" s="186"/>
      <c r="AK9" s="45"/>
      <c r="AL9" s="184" t="s">
        <v>7</v>
      </c>
      <c r="AM9" s="185"/>
      <c r="AN9" s="185"/>
      <c r="AO9" s="186"/>
      <c r="BA9" s="46"/>
    </row>
    <row r="10" spans="2:56" s="49" customFormat="1" ht="20.100000000000001" customHeight="1" x14ac:dyDescent="0.25">
      <c r="B10" s="47"/>
      <c r="C10" s="232" t="s">
        <v>33</v>
      </c>
      <c r="D10" s="232"/>
      <c r="E10" s="232"/>
      <c r="F10" s="232"/>
      <c r="G10" s="232"/>
      <c r="H10" s="232"/>
      <c r="I10" s="232"/>
      <c r="J10" s="232"/>
      <c r="K10" s="232"/>
      <c r="L10" s="232"/>
      <c r="M10" s="232"/>
      <c r="N10" s="232"/>
      <c r="O10" s="232"/>
      <c r="P10" s="232"/>
      <c r="Q10" s="232"/>
      <c r="R10" s="146" t="s">
        <v>1</v>
      </c>
      <c r="S10" s="146"/>
      <c r="T10" s="146"/>
      <c r="U10" s="146"/>
      <c r="V10" s="146"/>
      <c r="W10" s="151" t="str">
        <f>IF(R10="não","-",IF(R10="selecione","-",1))</f>
        <v>-</v>
      </c>
      <c r="X10" s="151"/>
      <c r="Y10" s="151"/>
      <c r="Z10" s="151"/>
      <c r="AA10" s="148">
        <f>IF(R10="Selecione",0,IF(R10="não",0,AG10))*12</f>
        <v>0</v>
      </c>
      <c r="AB10" s="148"/>
      <c r="AC10" s="148"/>
      <c r="AD10" s="148"/>
      <c r="AE10" s="148"/>
      <c r="AF10" s="48"/>
      <c r="AG10" s="142">
        <v>21.9</v>
      </c>
      <c r="AH10" s="142"/>
      <c r="AI10" s="142"/>
      <c r="AJ10" s="143"/>
      <c r="AL10" s="144">
        <f>AG10*12</f>
        <v>262.79999999999995</v>
      </c>
      <c r="AM10" s="142"/>
      <c r="AN10" s="142"/>
      <c r="AO10" s="143"/>
      <c r="AR10" s="50"/>
      <c r="BA10" s="51"/>
      <c r="BD10" s="51"/>
    </row>
    <row r="11" spans="2:56" x14ac:dyDescent="0.25">
      <c r="B11" s="3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38"/>
      <c r="BD11" s="52"/>
    </row>
    <row r="12" spans="2:56" s="49" customFormat="1" ht="20.100000000000001" customHeight="1" x14ac:dyDescent="0.25">
      <c r="B12" s="47"/>
      <c r="C12" s="232" t="s">
        <v>54</v>
      </c>
      <c r="D12" s="232"/>
      <c r="E12" s="232"/>
      <c r="F12" s="232"/>
      <c r="G12" s="232"/>
      <c r="H12" s="232"/>
      <c r="I12" s="232"/>
      <c r="J12" s="232"/>
      <c r="K12" s="232"/>
      <c r="L12" s="232"/>
      <c r="M12" s="232"/>
      <c r="N12" s="232"/>
      <c r="O12" s="232"/>
      <c r="P12" s="232"/>
      <c r="Q12" s="232"/>
      <c r="R12" s="146" t="s">
        <v>1</v>
      </c>
      <c r="S12" s="146"/>
      <c r="T12" s="146"/>
      <c r="U12" s="146"/>
      <c r="V12" s="146"/>
      <c r="W12" s="151" t="str">
        <f>IF(R12="selecione","-",R12)</f>
        <v>-</v>
      </c>
      <c r="X12" s="151"/>
      <c r="Y12" s="151"/>
      <c r="Z12" s="151"/>
      <c r="AA12" s="148">
        <f>IF(R12="selecione",0,AG12*30%)</f>
        <v>0</v>
      </c>
      <c r="AB12" s="148"/>
      <c r="AC12" s="148"/>
      <c r="AD12" s="148"/>
      <c r="AE12" s="148"/>
      <c r="AF12" s="48"/>
      <c r="AG12" s="142" t="str">
        <f>IF(W12="-","-",W12*198)</f>
        <v>-</v>
      </c>
      <c r="AH12" s="142"/>
      <c r="AI12" s="142"/>
      <c r="AJ12" s="143"/>
      <c r="AL12" s="144" t="str">
        <f>AG12</f>
        <v>-</v>
      </c>
      <c r="AM12" s="142"/>
      <c r="AN12" s="142"/>
      <c r="AO12" s="143"/>
      <c r="AR12" s="50"/>
      <c r="AS12" s="50"/>
    </row>
    <row r="13" spans="2:56" x14ac:dyDescent="0.25">
      <c r="B13" s="3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38"/>
    </row>
    <row r="14" spans="2:56" s="49" customFormat="1" ht="39.950000000000003" customHeight="1" x14ac:dyDescent="0.25">
      <c r="B14" s="47"/>
      <c r="C14" s="145" t="s">
        <v>56</v>
      </c>
      <c r="D14" s="145"/>
      <c r="E14" s="145"/>
      <c r="F14" s="145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  <c r="R14" s="146" t="s">
        <v>2</v>
      </c>
      <c r="S14" s="146"/>
      <c r="T14" s="146"/>
      <c r="U14" s="146"/>
      <c r="V14" s="146"/>
      <c r="W14" s="151">
        <f>IF(R14="NÃO",0,IF(R14="SIM",1,"-"))</f>
        <v>1</v>
      </c>
      <c r="X14" s="151"/>
      <c r="Y14" s="151"/>
      <c r="Z14" s="151"/>
      <c r="AA14" s="148">
        <f>IF(R14="selecione",0,AG14*40%)</f>
        <v>64</v>
      </c>
      <c r="AB14" s="148"/>
      <c r="AC14" s="148"/>
      <c r="AD14" s="148"/>
      <c r="AE14" s="148"/>
      <c r="AF14" s="48"/>
      <c r="AG14" s="142">
        <f>IF(W14="-","-",W14*160)</f>
        <v>160</v>
      </c>
      <c r="AH14" s="142"/>
      <c r="AI14" s="142"/>
      <c r="AJ14" s="143"/>
      <c r="AL14" s="144">
        <f>AG14</f>
        <v>160</v>
      </c>
      <c r="AM14" s="142"/>
      <c r="AN14" s="142"/>
      <c r="AO14" s="143"/>
    </row>
    <row r="15" spans="2:56" x14ac:dyDescent="0.25">
      <c r="B15" s="3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38"/>
    </row>
    <row r="16" spans="2:56" s="49" customFormat="1" ht="39.950000000000003" customHeight="1" x14ac:dyDescent="0.25">
      <c r="B16" s="47"/>
      <c r="C16" s="145" t="s">
        <v>57</v>
      </c>
      <c r="D16" s="145"/>
      <c r="E16" s="145"/>
      <c r="F16" s="145"/>
      <c r="G16" s="145"/>
      <c r="H16" s="145"/>
      <c r="I16" s="145"/>
      <c r="J16" s="145"/>
      <c r="K16" s="145"/>
      <c r="L16" s="145"/>
      <c r="M16" s="145"/>
      <c r="N16" s="145"/>
      <c r="O16" s="145"/>
      <c r="P16" s="145"/>
      <c r="Q16" s="145"/>
      <c r="R16" s="146" t="s">
        <v>1</v>
      </c>
      <c r="S16" s="146"/>
      <c r="T16" s="146"/>
      <c r="U16" s="146"/>
      <c r="V16" s="146"/>
      <c r="W16" s="151" t="s">
        <v>12</v>
      </c>
      <c r="X16" s="151"/>
      <c r="Y16" s="151"/>
      <c r="Z16" s="151"/>
      <c r="AA16" s="148">
        <f>IF(R16="não",0,IF(R16="selecione",0,AL16))</f>
        <v>0</v>
      </c>
      <c r="AB16" s="148"/>
      <c r="AC16" s="148"/>
      <c r="AD16" s="148"/>
      <c r="AE16" s="148"/>
      <c r="AF16" s="48"/>
      <c r="AG16" s="142">
        <f>AL16/12</f>
        <v>16.666666666666668</v>
      </c>
      <c r="AH16" s="142"/>
      <c r="AI16" s="142"/>
      <c r="AJ16" s="143"/>
      <c r="AL16" s="144">
        <v>200</v>
      </c>
      <c r="AM16" s="142"/>
      <c r="AN16" s="142"/>
      <c r="AO16" s="143"/>
    </row>
    <row r="17" spans="2:44" x14ac:dyDescent="0.25">
      <c r="B17" s="3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38"/>
    </row>
    <row r="18" spans="2:44" s="49" customFormat="1" ht="39.950000000000003" customHeight="1" x14ac:dyDescent="0.25">
      <c r="B18" s="47"/>
      <c r="C18" s="145" t="s">
        <v>58</v>
      </c>
      <c r="D18" s="145"/>
      <c r="E18" s="145"/>
      <c r="F18" s="145"/>
      <c r="G18" s="145"/>
      <c r="H18" s="145"/>
      <c r="I18" s="145"/>
      <c r="J18" s="145"/>
      <c r="K18" s="145"/>
      <c r="L18" s="145"/>
      <c r="M18" s="145"/>
      <c r="N18" s="145"/>
      <c r="O18" s="145"/>
      <c r="P18" s="145"/>
      <c r="Q18" s="145"/>
      <c r="R18" s="146" t="s">
        <v>1</v>
      </c>
      <c r="S18" s="146"/>
      <c r="T18" s="146"/>
      <c r="U18" s="146"/>
      <c r="V18" s="146"/>
      <c r="W18" s="146" t="s">
        <v>1</v>
      </c>
      <c r="X18" s="146"/>
      <c r="Y18" s="146"/>
      <c r="Z18" s="146"/>
      <c r="AA18" s="148">
        <f>IF(W18="SELECIONE",0,IF(R18="não",0,IF(R18="selecione",0,((AG18*20%)*W18))*12))</f>
        <v>0</v>
      </c>
      <c r="AB18" s="148"/>
      <c r="AC18" s="148"/>
      <c r="AD18" s="148"/>
      <c r="AE18" s="148"/>
      <c r="AF18" s="48"/>
      <c r="AG18" s="142">
        <f>AL18/12</f>
        <v>1060</v>
      </c>
      <c r="AH18" s="142"/>
      <c r="AI18" s="142"/>
      <c r="AJ18" s="143"/>
      <c r="AL18" s="144">
        <f>1060*12</f>
        <v>12720</v>
      </c>
      <c r="AM18" s="142"/>
      <c r="AN18" s="142"/>
      <c r="AO18" s="143"/>
      <c r="AR18" s="50"/>
    </row>
    <row r="19" spans="2:44" x14ac:dyDescent="0.25">
      <c r="B19" s="3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38"/>
    </row>
    <row r="20" spans="2:44" s="49" customFormat="1" ht="39.950000000000003" customHeight="1" x14ac:dyDescent="0.25">
      <c r="B20" s="47"/>
      <c r="C20" s="145" t="s">
        <v>47</v>
      </c>
      <c r="D20" s="145"/>
      <c r="E20" s="145"/>
      <c r="F20" s="145"/>
      <c r="G20" s="145"/>
      <c r="H20" s="145"/>
      <c r="I20" s="145"/>
      <c r="J20" s="145"/>
      <c r="K20" s="145"/>
      <c r="L20" s="145"/>
      <c r="M20" s="145"/>
      <c r="N20" s="145"/>
      <c r="O20" s="145"/>
      <c r="P20" s="145"/>
      <c r="Q20" s="145"/>
      <c r="R20" s="146" t="s">
        <v>1</v>
      </c>
      <c r="S20" s="146"/>
      <c r="T20" s="146"/>
      <c r="U20" s="146"/>
      <c r="V20" s="146"/>
      <c r="W20" s="146" t="s">
        <v>1</v>
      </c>
      <c r="X20" s="146"/>
      <c r="Y20" s="146"/>
      <c r="Z20" s="146"/>
      <c r="AA20" s="148">
        <f>IF(W20="SELECIONE",0,IF(R20="não",0,IF(R20="selecione",0,((AG20*20%)*W20))*12))</f>
        <v>0</v>
      </c>
      <c r="AB20" s="148"/>
      <c r="AC20" s="148"/>
      <c r="AD20" s="148"/>
      <c r="AE20" s="148"/>
      <c r="AF20" s="48"/>
      <c r="AG20" s="142">
        <f>AL20/12</f>
        <v>260</v>
      </c>
      <c r="AH20" s="142"/>
      <c r="AI20" s="142"/>
      <c r="AJ20" s="143"/>
      <c r="AL20" s="144">
        <v>3120</v>
      </c>
      <c r="AM20" s="142"/>
      <c r="AN20" s="142"/>
      <c r="AO20" s="143"/>
      <c r="AR20" s="50"/>
    </row>
    <row r="21" spans="2:44" x14ac:dyDescent="0.25">
      <c r="B21" s="3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38"/>
    </row>
    <row r="22" spans="2:44" s="49" customFormat="1" ht="45" customHeight="1" x14ac:dyDescent="0.25">
      <c r="B22" s="47"/>
      <c r="C22" s="145" t="s">
        <v>59</v>
      </c>
      <c r="D22" s="145"/>
      <c r="E22" s="145"/>
      <c r="F22" s="145"/>
      <c r="G22" s="145"/>
      <c r="H22" s="145"/>
      <c r="I22" s="145"/>
      <c r="J22" s="145"/>
      <c r="K22" s="145"/>
      <c r="L22" s="145"/>
      <c r="M22" s="145"/>
      <c r="N22" s="145"/>
      <c r="O22" s="145"/>
      <c r="P22" s="145"/>
      <c r="Q22" s="145"/>
      <c r="R22" s="146" t="s">
        <v>3</v>
      </c>
      <c r="S22" s="146"/>
      <c r="T22" s="146"/>
      <c r="U22" s="146"/>
      <c r="V22" s="146"/>
      <c r="W22" s="231" t="s">
        <v>60</v>
      </c>
      <c r="X22" s="231"/>
      <c r="Y22" s="231"/>
      <c r="Z22" s="231"/>
      <c r="AA22" s="148">
        <f>IF(R22="não",AL22,IF(R22="selecione",0,0))</f>
        <v>1620</v>
      </c>
      <c r="AB22" s="148"/>
      <c r="AC22" s="148"/>
      <c r="AD22" s="148"/>
      <c r="AE22" s="148"/>
      <c r="AF22" s="48"/>
      <c r="AG22" s="142">
        <v>135</v>
      </c>
      <c r="AH22" s="142"/>
      <c r="AI22" s="142"/>
      <c r="AJ22" s="143"/>
      <c r="AL22" s="144">
        <f>AG22*12</f>
        <v>1620</v>
      </c>
      <c r="AM22" s="142"/>
      <c r="AN22" s="142"/>
      <c r="AO22" s="143"/>
    </row>
    <row r="23" spans="2:44" x14ac:dyDescent="0.25">
      <c r="B23" s="3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38"/>
    </row>
    <row r="24" spans="2:44" ht="15" customHeight="1" x14ac:dyDescent="0.25">
      <c r="B24" s="34"/>
      <c r="C24" s="44"/>
      <c r="D24" s="44"/>
      <c r="E24" s="44"/>
      <c r="F24" s="44"/>
      <c r="G24" s="44"/>
      <c r="H24" s="44"/>
      <c r="I24" s="44"/>
      <c r="J24" s="44"/>
      <c r="K24" s="44"/>
      <c r="L24" s="221" t="s">
        <v>28</v>
      </c>
      <c r="M24" s="221"/>
      <c r="N24" s="221"/>
      <c r="O24" s="221"/>
      <c r="P24" s="221"/>
      <c r="Q24" s="221"/>
      <c r="R24" s="221"/>
      <c r="S24" s="221"/>
      <c r="T24" s="221"/>
      <c r="U24" s="221"/>
      <c r="V24" s="221"/>
      <c r="W24" s="221"/>
      <c r="X24" s="221"/>
      <c r="Y24" s="221"/>
      <c r="Z24" s="221"/>
      <c r="AA24" s="222">
        <f>SUM(AA10:AE22)</f>
        <v>1684</v>
      </c>
      <c r="AB24" s="222"/>
      <c r="AC24" s="223"/>
      <c r="AD24" s="223"/>
      <c r="AE24" s="223"/>
      <c r="AF24" s="38"/>
    </row>
    <row r="25" spans="2:44" x14ac:dyDescent="0.25">
      <c r="B25" s="3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38"/>
    </row>
    <row r="26" spans="2:44" s="49" customFormat="1" ht="37.5" customHeight="1" x14ac:dyDescent="0.25">
      <c r="B26" s="47"/>
      <c r="C26" s="180" t="s">
        <v>61</v>
      </c>
      <c r="D26" s="180"/>
      <c r="E26" s="180"/>
      <c r="F26" s="180"/>
      <c r="G26" s="180"/>
      <c r="H26" s="180"/>
      <c r="I26" s="180"/>
      <c r="J26" s="180"/>
      <c r="K26" s="180"/>
      <c r="L26" s="180"/>
      <c r="M26" s="180"/>
      <c r="N26" s="180"/>
      <c r="O26" s="180"/>
      <c r="P26" s="180"/>
      <c r="Q26" s="180"/>
      <c r="R26" s="220" t="s">
        <v>32</v>
      </c>
      <c r="S26" s="220"/>
      <c r="T26" s="220"/>
      <c r="U26" s="220"/>
      <c r="V26" s="220"/>
      <c r="W26" s="182"/>
      <c r="X26" s="182"/>
      <c r="Y26" s="182"/>
      <c r="Z26" s="182"/>
      <c r="AA26" s="183"/>
      <c r="AB26" s="183"/>
      <c r="AC26" s="183"/>
      <c r="AD26" s="183"/>
      <c r="AE26" s="183"/>
      <c r="AF26" s="48"/>
      <c r="AG26" s="142"/>
      <c r="AH26" s="142"/>
      <c r="AI26" s="142"/>
      <c r="AJ26" s="143"/>
      <c r="AL26" s="144"/>
      <c r="AM26" s="142"/>
      <c r="AN26" s="142"/>
      <c r="AO26" s="143"/>
    </row>
    <row r="27" spans="2:44" x14ac:dyDescent="0.25">
      <c r="B27" s="3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53"/>
      <c r="AB27" s="53"/>
      <c r="AC27" s="54"/>
      <c r="AD27" s="54"/>
      <c r="AE27" s="54"/>
      <c r="AF27" s="38"/>
      <c r="AQ27" s="80">
        <f>273*4</f>
        <v>1092</v>
      </c>
    </row>
    <row r="28" spans="2:44" s="58" customFormat="1" ht="20.100000000000001" customHeight="1" x14ac:dyDescent="0.25">
      <c r="B28" s="55"/>
      <c r="C28" s="56"/>
      <c r="D28" s="56"/>
      <c r="E28" s="56"/>
      <c r="F28" s="56"/>
      <c r="G28" s="56"/>
      <c r="H28" s="56"/>
      <c r="I28" s="56"/>
      <c r="J28" s="56"/>
      <c r="K28" s="56"/>
      <c r="L28" s="224" t="s">
        <v>31</v>
      </c>
      <c r="M28" s="224"/>
      <c r="N28" s="224"/>
      <c r="O28" s="224"/>
      <c r="P28" s="224"/>
      <c r="Q28" s="224"/>
      <c r="R28" s="224"/>
      <c r="S28" s="224"/>
      <c r="T28" s="224"/>
      <c r="U28" s="224"/>
      <c r="V28" s="224"/>
      <c r="W28" s="224"/>
      <c r="X28" s="224"/>
      <c r="Y28" s="224"/>
      <c r="Z28" s="224"/>
      <c r="AA28" s="225">
        <f>VLOOKUP(R26,'BASE DE DADOS'!C1:D4,2,0)</f>
        <v>972</v>
      </c>
      <c r="AB28" s="225"/>
      <c r="AC28" s="226"/>
      <c r="AD28" s="226"/>
      <c r="AE28" s="226"/>
      <c r="AF28" s="57"/>
    </row>
    <row r="29" spans="2:44" ht="15.75" thickBot="1" x14ac:dyDescent="0.3">
      <c r="B29" s="3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53"/>
      <c r="AB29" s="53"/>
      <c r="AC29" s="54"/>
      <c r="AD29" s="54"/>
      <c r="AE29" s="54"/>
      <c r="AF29" s="38"/>
    </row>
    <row r="30" spans="2:44" ht="15" customHeight="1" x14ac:dyDescent="0.25">
      <c r="B30" s="34"/>
      <c r="C30" s="44"/>
      <c r="D30" s="44"/>
      <c r="E30" s="44"/>
      <c r="F30" s="44"/>
      <c r="G30" s="44"/>
      <c r="H30" s="44"/>
      <c r="I30" s="44"/>
      <c r="J30" s="44"/>
      <c r="K30" s="44"/>
      <c r="L30" s="172" t="str">
        <f>IF(R26="SELECIONE","SELECIONE A FORMA DE PAGAMENTO DESEJADA PELO CLIENTE",IF(AA30&lt;1,"UTILIZE MAIS BENEFÍCIOS PARA CHEGAR AO BREAK EVEN DE CÁLCULO",IF(AA30&gt;1,"PARABÉNS! SUA POTENCIAL MARGEM DE DESCONTOS ULTRAPASSOU O VALOR DA SUA ASSOCIATIVA! ")))</f>
        <v xml:space="preserve">PARABÉNS! SUA POTENCIAL MARGEM DE DESCONTOS ULTRAPASSOU O VALOR DA SUA ASSOCIATIVA! </v>
      </c>
      <c r="M30" s="173"/>
      <c r="N30" s="173"/>
      <c r="O30" s="173"/>
      <c r="P30" s="173"/>
      <c r="Q30" s="173"/>
      <c r="R30" s="173"/>
      <c r="S30" s="173"/>
      <c r="T30" s="173"/>
      <c r="U30" s="173"/>
      <c r="V30" s="173"/>
      <c r="W30" s="173"/>
      <c r="X30" s="173"/>
      <c r="Y30" s="173"/>
      <c r="Z30" s="173"/>
      <c r="AA30" s="227">
        <f>AA24-AA28</f>
        <v>712</v>
      </c>
      <c r="AB30" s="227"/>
      <c r="AC30" s="227"/>
      <c r="AD30" s="227"/>
      <c r="AE30" s="228"/>
      <c r="AF30" s="38"/>
    </row>
    <row r="31" spans="2:44" ht="15.75" thickBot="1" x14ac:dyDescent="0.3">
      <c r="B31" s="34"/>
      <c r="C31" s="44"/>
      <c r="D31" s="44"/>
      <c r="E31" s="44"/>
      <c r="F31" s="44"/>
      <c r="G31" s="44"/>
      <c r="H31" s="44"/>
      <c r="I31" s="44"/>
      <c r="J31" s="44"/>
      <c r="K31" s="44"/>
      <c r="L31" s="174"/>
      <c r="M31" s="175"/>
      <c r="N31" s="175"/>
      <c r="O31" s="175"/>
      <c r="P31" s="175"/>
      <c r="Q31" s="175"/>
      <c r="R31" s="175"/>
      <c r="S31" s="175"/>
      <c r="T31" s="175"/>
      <c r="U31" s="175"/>
      <c r="V31" s="175"/>
      <c r="W31" s="175"/>
      <c r="X31" s="175"/>
      <c r="Y31" s="175"/>
      <c r="Z31" s="175"/>
      <c r="AA31" s="229"/>
      <c r="AB31" s="229"/>
      <c r="AC31" s="229"/>
      <c r="AD31" s="229"/>
      <c r="AE31" s="230"/>
      <c r="AF31" s="38"/>
    </row>
    <row r="32" spans="2:44" ht="17.100000000000001" customHeight="1" x14ac:dyDescent="0.25">
      <c r="B32" s="3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53"/>
      <c r="AB32" s="53"/>
      <c r="AC32" s="54"/>
      <c r="AD32" s="54"/>
      <c r="AE32" s="54"/>
      <c r="AF32" s="38"/>
    </row>
    <row r="33" spans="2:38" ht="17.100000000000001" customHeight="1" x14ac:dyDescent="0.3">
      <c r="B33" s="34"/>
      <c r="C33" s="156" t="str">
        <f>IF(R26="À VISTA (ANUAL)","PAGUE EM 4X DE R$ 243,00 NO CARTÃO DE CRÉDITO - APROVEITE!",IF(R26="MENSAL - BOLETO","PAGUE NO CARTÃO DE CRÉDITO E OBTENHA 5% DE DESCONTO!"," "))</f>
        <v>PAGUE EM 4X DE R$ 243,00 NO CARTÃO DE CRÉDITO - APROVEITE!</v>
      </c>
      <c r="D33" s="156"/>
      <c r="E33" s="156"/>
      <c r="F33" s="156"/>
      <c r="G33" s="156"/>
      <c r="H33" s="156"/>
      <c r="I33" s="156"/>
      <c r="J33" s="156"/>
      <c r="K33" s="156"/>
      <c r="L33" s="156"/>
      <c r="M33" s="156"/>
      <c r="N33" s="156"/>
      <c r="O33" s="156"/>
      <c r="P33" s="156"/>
      <c r="Q33" s="156"/>
      <c r="R33" s="156"/>
      <c r="S33" s="156"/>
      <c r="T33" s="156"/>
      <c r="U33" s="156"/>
      <c r="V33" s="156"/>
      <c r="W33" s="156"/>
      <c r="X33" s="156"/>
      <c r="Y33" s="156"/>
      <c r="Z33" s="156"/>
      <c r="AA33" s="156"/>
      <c r="AB33" s="156"/>
      <c r="AC33" s="156"/>
      <c r="AD33" s="156"/>
      <c r="AE33" s="156"/>
      <c r="AF33" s="38"/>
    </row>
    <row r="34" spans="2:38" ht="17.100000000000001" customHeight="1" x14ac:dyDescent="0.25">
      <c r="B34" s="3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38"/>
    </row>
    <row r="35" spans="2:38" x14ac:dyDescent="0.25">
      <c r="B35" s="34"/>
      <c r="C35" s="59" t="s">
        <v>8</v>
      </c>
      <c r="D35" s="217" t="s">
        <v>52</v>
      </c>
      <c r="E35" s="218"/>
      <c r="F35" s="218"/>
      <c r="G35" s="218"/>
      <c r="H35" s="218"/>
      <c r="I35" s="218"/>
      <c r="J35" s="218"/>
      <c r="K35" s="218"/>
      <c r="L35" s="218"/>
      <c r="M35" s="218"/>
      <c r="N35" s="218"/>
      <c r="O35" s="218"/>
      <c r="P35" s="218"/>
      <c r="Q35" s="218"/>
      <c r="R35" s="218"/>
      <c r="S35" s="218"/>
      <c r="T35" s="218"/>
      <c r="U35" s="218"/>
      <c r="V35" s="218"/>
      <c r="W35" s="218"/>
      <c r="X35" s="218"/>
      <c r="Y35" s="218"/>
      <c r="Z35" s="218"/>
      <c r="AA35" s="218"/>
      <c r="AB35" s="218"/>
      <c r="AC35" s="218"/>
      <c r="AD35" s="218"/>
      <c r="AE35" s="219"/>
      <c r="AF35" s="38"/>
    </row>
    <row r="36" spans="2:38" ht="5.0999999999999996" customHeight="1" x14ac:dyDescent="0.25">
      <c r="B36" s="3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38"/>
      <c r="AL36" s="60"/>
    </row>
    <row r="37" spans="2:38" x14ac:dyDescent="0.25">
      <c r="B37" s="34"/>
      <c r="C37" s="59" t="s">
        <v>9</v>
      </c>
      <c r="D37" s="217" t="s">
        <v>19</v>
      </c>
      <c r="E37" s="218"/>
      <c r="F37" s="218"/>
      <c r="G37" s="218"/>
      <c r="H37" s="218"/>
      <c r="I37" s="218"/>
      <c r="J37" s="218"/>
      <c r="K37" s="218"/>
      <c r="L37" s="218"/>
      <c r="M37" s="218"/>
      <c r="N37" s="218"/>
      <c r="O37" s="218"/>
      <c r="P37" s="218"/>
      <c r="Q37" s="218"/>
      <c r="R37" s="218"/>
      <c r="S37" s="218"/>
      <c r="T37" s="218"/>
      <c r="U37" s="218"/>
      <c r="V37" s="218"/>
      <c r="W37" s="218"/>
      <c r="X37" s="218"/>
      <c r="Y37" s="218"/>
      <c r="Z37" s="218"/>
      <c r="AA37" s="218"/>
      <c r="AB37" s="218"/>
      <c r="AC37" s="218"/>
      <c r="AD37" s="218"/>
      <c r="AE37" s="219"/>
      <c r="AF37" s="38"/>
    </row>
    <row r="38" spans="2:38" ht="5.0999999999999996" customHeight="1" x14ac:dyDescent="0.25">
      <c r="B38" s="3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38"/>
    </row>
    <row r="39" spans="2:38" x14ac:dyDescent="0.25">
      <c r="B39" s="34"/>
      <c r="C39" s="59" t="s">
        <v>13</v>
      </c>
      <c r="D39" s="217" t="s">
        <v>55</v>
      </c>
      <c r="E39" s="218"/>
      <c r="F39" s="218"/>
      <c r="G39" s="218"/>
      <c r="H39" s="218"/>
      <c r="I39" s="218"/>
      <c r="J39" s="218"/>
      <c r="K39" s="218"/>
      <c r="L39" s="218"/>
      <c r="M39" s="218"/>
      <c r="N39" s="218"/>
      <c r="O39" s="218"/>
      <c r="P39" s="218"/>
      <c r="Q39" s="218"/>
      <c r="R39" s="218"/>
      <c r="S39" s="218"/>
      <c r="T39" s="218"/>
      <c r="U39" s="218"/>
      <c r="V39" s="218"/>
      <c r="W39" s="218"/>
      <c r="X39" s="218"/>
      <c r="Y39" s="218"/>
      <c r="Z39" s="218"/>
      <c r="AA39" s="218"/>
      <c r="AB39" s="218"/>
      <c r="AC39" s="218"/>
      <c r="AD39" s="218"/>
      <c r="AE39" s="219"/>
      <c r="AF39" s="38"/>
    </row>
    <row r="40" spans="2:38" ht="5.0999999999999996" customHeight="1" x14ac:dyDescent="0.25">
      <c r="B40" s="3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38"/>
    </row>
    <row r="41" spans="2:38" x14ac:dyDescent="0.25">
      <c r="B41" s="34"/>
      <c r="C41" s="59" t="s">
        <v>18</v>
      </c>
      <c r="D41" s="217" t="s">
        <v>14</v>
      </c>
      <c r="E41" s="218"/>
      <c r="F41" s="218"/>
      <c r="G41" s="218"/>
      <c r="H41" s="218"/>
      <c r="I41" s="218"/>
      <c r="J41" s="218"/>
      <c r="K41" s="218"/>
      <c r="L41" s="218"/>
      <c r="M41" s="218"/>
      <c r="N41" s="218"/>
      <c r="O41" s="218"/>
      <c r="P41" s="218"/>
      <c r="Q41" s="218"/>
      <c r="R41" s="218"/>
      <c r="S41" s="218"/>
      <c r="T41" s="218"/>
      <c r="U41" s="218"/>
      <c r="V41" s="218"/>
      <c r="W41" s="218"/>
      <c r="X41" s="218"/>
      <c r="Y41" s="218"/>
      <c r="Z41" s="218"/>
      <c r="AA41" s="218"/>
      <c r="AB41" s="218"/>
      <c r="AC41" s="218"/>
      <c r="AD41" s="218"/>
      <c r="AE41" s="219"/>
      <c r="AF41" s="38"/>
    </row>
    <row r="42" spans="2:38" ht="5.0999999999999996" customHeight="1" x14ac:dyDescent="0.25">
      <c r="B42" s="3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38"/>
    </row>
    <row r="43" spans="2:38" ht="30" customHeight="1" x14ac:dyDescent="0.25">
      <c r="B43" s="34"/>
      <c r="C43" s="59" t="s">
        <v>21</v>
      </c>
      <c r="D43" s="214" t="s">
        <v>34</v>
      </c>
      <c r="E43" s="215"/>
      <c r="F43" s="215"/>
      <c r="G43" s="215"/>
      <c r="H43" s="215"/>
      <c r="I43" s="215"/>
      <c r="J43" s="215"/>
      <c r="K43" s="215"/>
      <c r="L43" s="215"/>
      <c r="M43" s="215"/>
      <c r="N43" s="215"/>
      <c r="O43" s="215"/>
      <c r="P43" s="215"/>
      <c r="Q43" s="215"/>
      <c r="R43" s="215"/>
      <c r="S43" s="215"/>
      <c r="T43" s="215"/>
      <c r="U43" s="215"/>
      <c r="V43" s="215"/>
      <c r="W43" s="215"/>
      <c r="X43" s="215"/>
      <c r="Y43" s="215"/>
      <c r="Z43" s="215"/>
      <c r="AA43" s="215"/>
      <c r="AB43" s="215"/>
      <c r="AC43" s="215"/>
      <c r="AD43" s="215"/>
      <c r="AE43" s="216"/>
      <c r="AF43" s="38"/>
    </row>
    <row r="44" spans="2:38" ht="5.0999999999999996" customHeight="1" x14ac:dyDescent="0.25">
      <c r="B44" s="3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38"/>
    </row>
    <row r="45" spans="2:38" ht="30" customHeight="1" x14ac:dyDescent="0.25">
      <c r="B45" s="34"/>
      <c r="C45" s="61" t="s">
        <v>44</v>
      </c>
      <c r="D45" s="214" t="s">
        <v>46</v>
      </c>
      <c r="E45" s="215"/>
      <c r="F45" s="215"/>
      <c r="G45" s="215"/>
      <c r="H45" s="215"/>
      <c r="I45" s="215"/>
      <c r="J45" s="215"/>
      <c r="K45" s="215"/>
      <c r="L45" s="215"/>
      <c r="M45" s="215"/>
      <c r="N45" s="215"/>
      <c r="O45" s="215"/>
      <c r="P45" s="215"/>
      <c r="Q45" s="215"/>
      <c r="R45" s="215"/>
      <c r="S45" s="215"/>
      <c r="T45" s="215"/>
      <c r="U45" s="215"/>
      <c r="V45" s="215"/>
      <c r="W45" s="215"/>
      <c r="X45" s="215"/>
      <c r="Y45" s="215"/>
      <c r="Z45" s="215"/>
      <c r="AA45" s="215"/>
      <c r="AB45" s="215"/>
      <c r="AC45" s="215"/>
      <c r="AD45" s="215"/>
      <c r="AE45" s="216"/>
      <c r="AF45" s="38"/>
    </row>
    <row r="46" spans="2:38" ht="5.0999999999999996" customHeight="1" x14ac:dyDescent="0.25">
      <c r="B46" s="3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38"/>
    </row>
    <row r="47" spans="2:38" ht="15.75" thickBot="1" x14ac:dyDescent="0.3">
      <c r="B47" s="62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4"/>
    </row>
  </sheetData>
  <mergeCells count="68">
    <mergeCell ref="J3:AC5"/>
    <mergeCell ref="AD5:AE5"/>
    <mergeCell ref="R7:V9"/>
    <mergeCell ref="W7:Z9"/>
    <mergeCell ref="AA7:AE9"/>
    <mergeCell ref="AL12:AO12"/>
    <mergeCell ref="AL9:AO9"/>
    <mergeCell ref="C10:Q10"/>
    <mergeCell ref="R10:V10"/>
    <mergeCell ref="W10:Z10"/>
    <mergeCell ref="AA10:AE10"/>
    <mergeCell ref="AG10:AJ10"/>
    <mergeCell ref="AL10:AO10"/>
    <mergeCell ref="AG9:AJ9"/>
    <mergeCell ref="C12:Q12"/>
    <mergeCell ref="R12:V12"/>
    <mergeCell ref="W12:Z12"/>
    <mergeCell ref="AA12:AE12"/>
    <mergeCell ref="AG12:AJ12"/>
    <mergeCell ref="AL16:AO16"/>
    <mergeCell ref="C14:Q14"/>
    <mergeCell ref="R14:V14"/>
    <mergeCell ref="W14:Z14"/>
    <mergeCell ref="AA14:AE14"/>
    <mergeCell ref="AG14:AJ14"/>
    <mergeCell ref="AL14:AO14"/>
    <mergeCell ref="C16:Q16"/>
    <mergeCell ref="R16:V16"/>
    <mergeCell ref="W16:Z16"/>
    <mergeCell ref="AA16:AE16"/>
    <mergeCell ref="AG16:AJ16"/>
    <mergeCell ref="AL22:AO22"/>
    <mergeCell ref="C18:Q18"/>
    <mergeCell ref="R18:V18"/>
    <mergeCell ref="W18:Z18"/>
    <mergeCell ref="AA18:AE18"/>
    <mergeCell ref="AG18:AJ18"/>
    <mergeCell ref="AL18:AO18"/>
    <mergeCell ref="C22:Q22"/>
    <mergeCell ref="R22:V22"/>
    <mergeCell ref="W22:Z22"/>
    <mergeCell ref="AA22:AE22"/>
    <mergeCell ref="AG22:AJ22"/>
    <mergeCell ref="C20:Q20"/>
    <mergeCell ref="R20:V20"/>
    <mergeCell ref="W20:Z20"/>
    <mergeCell ref="AA20:AE20"/>
    <mergeCell ref="AA24:AE24"/>
    <mergeCell ref="L28:Z28"/>
    <mergeCell ref="AA28:AE28"/>
    <mergeCell ref="L30:Z31"/>
    <mergeCell ref="AA30:AE31"/>
    <mergeCell ref="AG20:AJ20"/>
    <mergeCell ref="AL20:AO20"/>
    <mergeCell ref="D45:AE45"/>
    <mergeCell ref="AG26:AJ26"/>
    <mergeCell ref="AL26:AO26"/>
    <mergeCell ref="D35:AE35"/>
    <mergeCell ref="D37:AE37"/>
    <mergeCell ref="D39:AE39"/>
    <mergeCell ref="C33:AE33"/>
    <mergeCell ref="C26:Q26"/>
    <mergeCell ref="R26:V26"/>
    <mergeCell ref="W26:Z26"/>
    <mergeCell ref="AA26:AE26"/>
    <mergeCell ref="D41:AE41"/>
    <mergeCell ref="D43:AE43"/>
    <mergeCell ref="L24:Z24"/>
  </mergeCells>
  <dataValidations count="3">
    <dataValidation type="list" allowBlank="1" showInputMessage="1" showErrorMessage="1" sqref="R26:V26">
      <formula1>PGTO.</formula1>
    </dataValidation>
    <dataValidation type="list" allowBlank="1" showInputMessage="1" showErrorMessage="1" sqref="W20:Z20">
      <formula1>$B$1:$B$33</formula1>
    </dataValidation>
    <dataValidation type="list" allowBlank="1" showInputMessage="1" showErrorMessage="1" sqref="W18:Z18">
      <formula1>$B$1:$B$33</formula1>
    </dataValidation>
  </dataValidations>
  <pageMargins left="0.18" right="0.17" top="0.33" bottom="0.78740157480314965" header="0.31496062992125984" footer="0.31496062992125984"/>
  <pageSetup paperSize="9" scale="86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'BASE DE DADOS'!$B$1:$B$36</xm:f>
          </x14:formula1>
          <xm:sqref>R12:V12</xm:sqref>
        </x14:dataValidation>
        <x14:dataValidation type="list" allowBlank="1" showInputMessage="1" showErrorMessage="1">
          <x14:formula1>
            <xm:f>'BASE DE DADOS'!$A$1:$A$3</xm:f>
          </x14:formula1>
          <xm:sqref>R10:V10 R16:V16 R14:V14 R18:V18 R20:V20 R22:V22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D24"/>
  <sheetViews>
    <sheetView topLeftCell="C1" workbookViewId="0">
      <selection activeCell="C28" sqref="C28"/>
    </sheetView>
  </sheetViews>
  <sheetFormatPr defaultRowHeight="15" x14ac:dyDescent="0.25"/>
  <cols>
    <col min="3" max="3" width="76.28515625" bestFit="1" customWidth="1"/>
    <col min="4" max="4" width="98" bestFit="1" customWidth="1"/>
  </cols>
  <sheetData>
    <row r="4" spans="3:4" x14ac:dyDescent="0.25">
      <c r="C4" t="s">
        <v>62</v>
      </c>
      <c r="D4" t="s">
        <v>37</v>
      </c>
    </row>
    <row r="6" spans="3:4" x14ac:dyDescent="0.25">
      <c r="C6" t="s">
        <v>63</v>
      </c>
      <c r="D6" t="str">
        <f>C6</f>
        <v>Você lê jornal pelo menos uma vez por semana? *</v>
      </c>
    </row>
    <row r="8" spans="3:4" x14ac:dyDescent="0.25">
      <c r="C8" t="s">
        <v>64</v>
      </c>
      <c r="D8" t="s">
        <v>65</v>
      </c>
    </row>
    <row r="10" spans="3:4" x14ac:dyDescent="0.25">
      <c r="C10" t="s">
        <v>66</v>
      </c>
      <c r="D10" t="str">
        <f>C10</f>
        <v>Você compraria certificado digital com 40% de desconto? ***</v>
      </c>
    </row>
    <row r="12" spans="3:4" x14ac:dyDescent="0.25">
      <c r="C12" t="s">
        <v>57</v>
      </c>
      <c r="D12" t="str">
        <f>C12</f>
        <v>Você necessita comprar uma Apólice de RC nos próximos 12 meses para garantir a continuidade dos seus negócios? ****</v>
      </c>
    </row>
    <row r="14" spans="3:4" x14ac:dyDescent="0.25">
      <c r="C14" t="s">
        <v>67</v>
      </c>
      <c r="D14" t="s">
        <v>68</v>
      </c>
    </row>
    <row r="16" spans="3:4" x14ac:dyDescent="0.25">
      <c r="C16" t="s">
        <v>69</v>
      </c>
      <c r="D16" t="s">
        <v>70</v>
      </c>
    </row>
    <row r="18" spans="3:4" x14ac:dyDescent="0.25">
      <c r="C18" t="s">
        <v>82</v>
      </c>
      <c r="D18" t="str">
        <f>C18</f>
        <v>Sua corretora tem um APP personalizado (logo da corretora / relacionamento com clientes / entre outros) para vendas ao consumidor final? (segurado) *******</v>
      </c>
    </row>
    <row r="20" spans="3:4" x14ac:dyDescent="0.25">
      <c r="C20" t="s">
        <v>83</v>
      </c>
      <c r="D20" t="s">
        <v>84</v>
      </c>
    </row>
    <row r="22" spans="3:4" x14ac:dyDescent="0.25">
      <c r="C22" t="s">
        <v>88</v>
      </c>
      <c r="D22" t="s">
        <v>89</v>
      </c>
    </row>
    <row r="24" spans="3:4" x14ac:dyDescent="0.25">
      <c r="C24" t="s">
        <v>90</v>
      </c>
      <c r="D24" t="s">
        <v>91</v>
      </c>
    </row>
  </sheetData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/>
  <dimension ref="A1:AC41"/>
  <sheetViews>
    <sheetView topLeftCell="O1" zoomScale="85" zoomScaleNormal="85" workbookViewId="0">
      <selection activeCell="Z8" sqref="Z8"/>
    </sheetView>
  </sheetViews>
  <sheetFormatPr defaultRowHeight="15" x14ac:dyDescent="0.25"/>
  <cols>
    <col min="1" max="1" width="10.42578125" bestFit="1" customWidth="1"/>
    <col min="3" max="3" width="28.42578125" bestFit="1" customWidth="1"/>
    <col min="6" max="6" width="45" bestFit="1" customWidth="1"/>
    <col min="7" max="7" width="28.42578125" bestFit="1" customWidth="1"/>
    <col min="8" max="8" width="54.5703125" bestFit="1" customWidth="1"/>
    <col min="9" max="9" width="36.28515625" bestFit="1" customWidth="1"/>
    <col min="10" max="10" width="61.28515625" bestFit="1" customWidth="1"/>
    <col min="11" max="11" width="28.42578125" customWidth="1"/>
    <col min="15" max="15" width="26.7109375" bestFit="1" customWidth="1"/>
    <col min="16" max="16" width="16.42578125" bestFit="1" customWidth="1"/>
    <col min="17" max="18" width="17.28515625" bestFit="1" customWidth="1"/>
    <col min="22" max="22" width="32.42578125" bestFit="1" customWidth="1"/>
    <col min="28" max="28" width="10.42578125" bestFit="1" customWidth="1"/>
  </cols>
  <sheetData>
    <row r="1" spans="1:29" x14ac:dyDescent="0.25">
      <c r="A1" t="s">
        <v>1</v>
      </c>
      <c r="B1" t="s">
        <v>1</v>
      </c>
      <c r="C1" t="s">
        <v>1</v>
      </c>
      <c r="D1">
        <v>0</v>
      </c>
      <c r="F1" s="11" t="s">
        <v>1</v>
      </c>
      <c r="G1" s="11" t="s">
        <v>32</v>
      </c>
      <c r="H1" s="11" t="s">
        <v>29</v>
      </c>
      <c r="I1" s="11" t="s">
        <v>30</v>
      </c>
      <c r="M1" t="s">
        <v>1</v>
      </c>
      <c r="O1" t="s">
        <v>38</v>
      </c>
      <c r="P1" t="s">
        <v>37</v>
      </c>
      <c r="Q1" t="s">
        <v>36</v>
      </c>
      <c r="R1" t="s">
        <v>62</v>
      </c>
      <c r="V1" t="s">
        <v>77</v>
      </c>
      <c r="W1" t="s">
        <v>78</v>
      </c>
      <c r="AB1" t="s">
        <v>80</v>
      </c>
      <c r="AC1" t="s">
        <v>81</v>
      </c>
    </row>
    <row r="2" spans="1:29" x14ac:dyDescent="0.25">
      <c r="A2" t="s">
        <v>2</v>
      </c>
      <c r="B2">
        <v>0</v>
      </c>
      <c r="C2" t="s">
        <v>32</v>
      </c>
      <c r="D2">
        <v>972</v>
      </c>
      <c r="F2" s="11" t="s">
        <v>62</v>
      </c>
      <c r="G2" s="12">
        <v>972</v>
      </c>
      <c r="H2" s="12">
        <v>90</v>
      </c>
      <c r="I2" s="12">
        <v>85.5</v>
      </c>
      <c r="J2" s="29" t="s">
        <v>71</v>
      </c>
      <c r="K2" s="29"/>
      <c r="M2">
        <v>1</v>
      </c>
      <c r="O2" t="s">
        <v>1</v>
      </c>
      <c r="P2" t="s">
        <v>1</v>
      </c>
      <c r="Q2" t="s">
        <v>1</v>
      </c>
      <c r="R2" t="s">
        <v>1</v>
      </c>
      <c r="V2" t="s">
        <v>79</v>
      </c>
      <c r="W2" t="s">
        <v>1</v>
      </c>
      <c r="AB2" t="s">
        <v>1</v>
      </c>
      <c r="AC2" t="s">
        <v>1</v>
      </c>
    </row>
    <row r="3" spans="1:29" x14ac:dyDescent="0.25">
      <c r="A3" t="s">
        <v>3</v>
      </c>
      <c r="B3">
        <v>1</v>
      </c>
      <c r="C3" t="s">
        <v>29</v>
      </c>
      <c r="D3">
        <f>90*12</f>
        <v>1080</v>
      </c>
      <c r="F3" s="11" t="s">
        <v>36</v>
      </c>
      <c r="G3" s="12">
        <v>1404</v>
      </c>
      <c r="H3" s="12">
        <v>130</v>
      </c>
      <c r="I3" s="12">
        <v>123.5</v>
      </c>
      <c r="J3" s="29" t="s">
        <v>42</v>
      </c>
      <c r="K3" s="29"/>
      <c r="M3">
        <v>2</v>
      </c>
      <c r="O3">
        <v>2</v>
      </c>
      <c r="P3">
        <v>2</v>
      </c>
      <c r="Q3">
        <v>1</v>
      </c>
      <c r="R3">
        <v>1</v>
      </c>
      <c r="W3">
        <v>1</v>
      </c>
      <c r="AB3">
        <v>1</v>
      </c>
      <c r="AC3">
        <v>0</v>
      </c>
    </row>
    <row r="4" spans="1:29" x14ac:dyDescent="0.25">
      <c r="B4">
        <v>2</v>
      </c>
      <c r="C4" t="s">
        <v>30</v>
      </c>
      <c r="D4">
        <f>12*85.5</f>
        <v>1026</v>
      </c>
      <c r="F4" s="11" t="s">
        <v>37</v>
      </c>
      <c r="G4" s="12">
        <v>1944</v>
      </c>
      <c r="H4" s="12">
        <v>180</v>
      </c>
      <c r="I4" s="12">
        <v>171</v>
      </c>
      <c r="J4" s="29" t="s">
        <v>43</v>
      </c>
      <c r="K4" s="29"/>
      <c r="M4">
        <v>3</v>
      </c>
      <c r="O4">
        <v>3</v>
      </c>
      <c r="P4">
        <v>3</v>
      </c>
      <c r="W4">
        <v>2</v>
      </c>
      <c r="AB4">
        <v>2</v>
      </c>
    </row>
    <row r="5" spans="1:29" x14ac:dyDescent="0.25">
      <c r="B5">
        <v>3</v>
      </c>
      <c r="F5" s="11" t="s">
        <v>38</v>
      </c>
      <c r="G5" s="12">
        <v>5508</v>
      </c>
      <c r="H5" s="12">
        <v>510</v>
      </c>
      <c r="I5" s="12">
        <v>484.5</v>
      </c>
      <c r="J5" s="29" t="s">
        <v>41</v>
      </c>
      <c r="M5">
        <v>4</v>
      </c>
      <c r="O5">
        <v>4</v>
      </c>
      <c r="P5">
        <v>4</v>
      </c>
      <c r="W5">
        <v>3</v>
      </c>
      <c r="AB5">
        <v>3</v>
      </c>
    </row>
    <row r="6" spans="1:29" x14ac:dyDescent="0.25">
      <c r="B6">
        <v>4</v>
      </c>
      <c r="M6">
        <v>5</v>
      </c>
      <c r="O6">
        <v>5</v>
      </c>
      <c r="P6">
        <v>5</v>
      </c>
      <c r="W6">
        <v>4</v>
      </c>
      <c r="AB6">
        <v>4</v>
      </c>
    </row>
    <row r="7" spans="1:29" x14ac:dyDescent="0.25">
      <c r="B7">
        <v>5</v>
      </c>
      <c r="F7" s="13"/>
      <c r="H7" s="25"/>
      <c r="M7">
        <v>6</v>
      </c>
      <c r="O7">
        <v>6</v>
      </c>
      <c r="P7">
        <v>6</v>
      </c>
      <c r="W7">
        <v>5</v>
      </c>
      <c r="AB7">
        <v>5</v>
      </c>
    </row>
    <row r="8" spans="1:29" x14ac:dyDescent="0.25">
      <c r="B8">
        <v>6</v>
      </c>
      <c r="F8" s="10" t="str">
        <f>'INT. V.5'!J7</f>
        <v>SELECIONE</v>
      </c>
      <c r="M8">
        <v>7</v>
      </c>
      <c r="O8">
        <v>7</v>
      </c>
      <c r="P8">
        <v>7</v>
      </c>
      <c r="W8">
        <v>6</v>
      </c>
      <c r="AB8">
        <v>6</v>
      </c>
    </row>
    <row r="9" spans="1:29" x14ac:dyDescent="0.25">
      <c r="B9">
        <v>7</v>
      </c>
      <c r="F9" s="10" t="str">
        <f>'INT. V.5'!R37</f>
        <v>SELECIONE</v>
      </c>
      <c r="M9">
        <v>8</v>
      </c>
      <c r="O9">
        <v>8</v>
      </c>
      <c r="P9">
        <v>8</v>
      </c>
      <c r="W9">
        <v>7</v>
      </c>
      <c r="AB9">
        <v>7</v>
      </c>
    </row>
    <row r="10" spans="1:29" x14ac:dyDescent="0.25">
      <c r="B10">
        <v>8</v>
      </c>
      <c r="M10">
        <v>9</v>
      </c>
      <c r="O10">
        <v>9</v>
      </c>
      <c r="P10">
        <v>9</v>
      </c>
      <c r="W10">
        <v>8</v>
      </c>
      <c r="AB10">
        <v>8</v>
      </c>
    </row>
    <row r="11" spans="1:29" x14ac:dyDescent="0.25">
      <c r="B11">
        <v>9</v>
      </c>
      <c r="F11" t="str">
        <f>CONCATENATE(F8,F9)</f>
        <v>SELECIONESELECIONE</v>
      </c>
      <c r="G11" s="9" t="e">
        <f>VLOOKUP(F11,$H$23:$I$34,2,0)</f>
        <v>#N/A</v>
      </c>
      <c r="M11">
        <v>10</v>
      </c>
      <c r="O11">
        <v>10</v>
      </c>
      <c r="P11">
        <v>10</v>
      </c>
      <c r="W11">
        <v>9</v>
      </c>
      <c r="AB11">
        <v>9</v>
      </c>
    </row>
    <row r="12" spans="1:29" x14ac:dyDescent="0.25">
      <c r="B12">
        <v>10</v>
      </c>
      <c r="M12">
        <v>11</v>
      </c>
      <c r="O12">
        <v>11</v>
      </c>
      <c r="P12">
        <v>11</v>
      </c>
      <c r="W12">
        <v>10</v>
      </c>
      <c r="AB12">
        <v>10</v>
      </c>
    </row>
    <row r="13" spans="1:29" x14ac:dyDescent="0.25">
      <c r="B13">
        <v>11</v>
      </c>
      <c r="F13" t="s">
        <v>39</v>
      </c>
      <c r="G13" s="26" t="str">
        <f>'INT. V.5'!Y7</f>
        <v>SELECIONE</v>
      </c>
      <c r="H13" t="e">
        <f>G13-2</f>
        <v>#VALUE!</v>
      </c>
      <c r="I13" s="9" t="e">
        <f>(H13*50)*12</f>
        <v>#VALUE!</v>
      </c>
      <c r="M13">
        <v>12</v>
      </c>
      <c r="O13">
        <v>12</v>
      </c>
      <c r="P13">
        <v>12</v>
      </c>
      <c r="W13">
        <v>11</v>
      </c>
      <c r="AB13">
        <v>11</v>
      </c>
    </row>
    <row r="14" spans="1:29" x14ac:dyDescent="0.25">
      <c r="B14">
        <v>12</v>
      </c>
      <c r="M14">
        <v>13</v>
      </c>
      <c r="O14">
        <v>13</v>
      </c>
      <c r="P14">
        <v>13</v>
      </c>
      <c r="W14">
        <v>12</v>
      </c>
      <c r="AB14">
        <v>12</v>
      </c>
    </row>
    <row r="15" spans="1:29" x14ac:dyDescent="0.25">
      <c r="B15">
        <v>13</v>
      </c>
      <c r="G15" s="27"/>
      <c r="H15" s="27"/>
      <c r="I15" s="27"/>
      <c r="M15">
        <v>14</v>
      </c>
      <c r="O15">
        <v>14</v>
      </c>
      <c r="P15">
        <v>14</v>
      </c>
      <c r="W15">
        <v>13</v>
      </c>
      <c r="AB15">
        <v>13</v>
      </c>
    </row>
    <row r="16" spans="1:29" x14ac:dyDescent="0.25">
      <c r="B16">
        <v>14</v>
      </c>
      <c r="G16" s="28" t="s">
        <v>36</v>
      </c>
      <c r="H16" s="28" t="s">
        <v>37</v>
      </c>
      <c r="I16" s="28" t="s">
        <v>38</v>
      </c>
      <c r="J16" s="28" t="s">
        <v>62</v>
      </c>
      <c r="M16">
        <v>15</v>
      </c>
      <c r="O16">
        <v>15</v>
      </c>
      <c r="P16">
        <v>15</v>
      </c>
      <c r="W16">
        <v>14</v>
      </c>
      <c r="AB16">
        <v>14</v>
      </c>
    </row>
    <row r="17" spans="2:28" x14ac:dyDescent="0.25">
      <c r="B17">
        <v>15</v>
      </c>
      <c r="F17" s="11" t="s">
        <v>32</v>
      </c>
      <c r="G17" s="12">
        <v>1404</v>
      </c>
      <c r="H17" s="12">
        <v>1944</v>
      </c>
      <c r="I17" s="12">
        <v>5508</v>
      </c>
      <c r="J17" s="12">
        <v>972</v>
      </c>
      <c r="M17">
        <v>16</v>
      </c>
      <c r="O17">
        <v>16</v>
      </c>
      <c r="P17">
        <v>16</v>
      </c>
      <c r="W17">
        <v>15</v>
      </c>
      <c r="AB17">
        <v>15</v>
      </c>
    </row>
    <row r="18" spans="2:28" x14ac:dyDescent="0.25">
      <c r="B18">
        <v>16</v>
      </c>
      <c r="F18" s="11" t="s">
        <v>29</v>
      </c>
      <c r="G18" s="12">
        <v>130</v>
      </c>
      <c r="H18" s="12">
        <v>180</v>
      </c>
      <c r="I18" s="12">
        <v>510</v>
      </c>
      <c r="J18" s="12">
        <v>510</v>
      </c>
      <c r="M18">
        <v>17</v>
      </c>
      <c r="O18">
        <v>17</v>
      </c>
      <c r="P18">
        <v>17</v>
      </c>
      <c r="W18">
        <v>16</v>
      </c>
      <c r="AB18">
        <v>16</v>
      </c>
    </row>
    <row r="19" spans="2:28" x14ac:dyDescent="0.25">
      <c r="B19">
        <v>17</v>
      </c>
      <c r="F19" s="11" t="s">
        <v>30</v>
      </c>
      <c r="G19" s="12">
        <v>123.5</v>
      </c>
      <c r="H19" s="12">
        <v>171</v>
      </c>
      <c r="I19" s="12">
        <v>484.5</v>
      </c>
      <c r="J19" s="12">
        <v>484.5</v>
      </c>
      <c r="M19">
        <v>18</v>
      </c>
      <c r="O19">
        <v>18</v>
      </c>
      <c r="P19">
        <v>18</v>
      </c>
      <c r="W19">
        <v>17</v>
      </c>
      <c r="AB19">
        <v>17</v>
      </c>
    </row>
    <row r="20" spans="2:28" x14ac:dyDescent="0.25">
      <c r="B20">
        <v>18</v>
      </c>
      <c r="M20">
        <v>19</v>
      </c>
      <c r="O20">
        <v>19</v>
      </c>
      <c r="P20">
        <v>19</v>
      </c>
      <c r="W20">
        <v>18</v>
      </c>
      <c r="AB20">
        <v>18</v>
      </c>
    </row>
    <row r="21" spans="2:28" x14ac:dyDescent="0.25">
      <c r="B21">
        <v>19</v>
      </c>
      <c r="M21">
        <v>20</v>
      </c>
      <c r="O21">
        <v>20</v>
      </c>
      <c r="P21">
        <v>20</v>
      </c>
      <c r="W21">
        <v>19</v>
      </c>
      <c r="AB21">
        <v>19</v>
      </c>
    </row>
    <row r="22" spans="2:28" ht="15.75" thickBot="1" x14ac:dyDescent="0.3">
      <c r="B22">
        <v>20</v>
      </c>
      <c r="J22" s="66" t="s">
        <v>49</v>
      </c>
      <c r="M22">
        <v>21</v>
      </c>
      <c r="O22">
        <v>21</v>
      </c>
      <c r="P22">
        <v>21</v>
      </c>
      <c r="W22">
        <v>20</v>
      </c>
      <c r="AB22">
        <v>20</v>
      </c>
    </row>
    <row r="23" spans="2:28" x14ac:dyDescent="0.25">
      <c r="B23">
        <v>21</v>
      </c>
      <c r="F23" s="15" t="s">
        <v>36</v>
      </c>
      <c r="G23" s="16" t="s">
        <v>32</v>
      </c>
      <c r="H23" s="16" t="str">
        <f>CONCATENATE(F23,G23)</f>
        <v>EIRELI INDIVIDUALÀ VISTA (ANUAL)</v>
      </c>
      <c r="I23" s="17">
        <v>1404</v>
      </c>
      <c r="J23" t="s">
        <v>50</v>
      </c>
      <c r="M23">
        <v>22</v>
      </c>
      <c r="O23">
        <v>22</v>
      </c>
      <c r="P23">
        <v>22</v>
      </c>
      <c r="W23">
        <v>21</v>
      </c>
      <c r="AB23">
        <v>21</v>
      </c>
    </row>
    <row r="24" spans="2:28" x14ac:dyDescent="0.25">
      <c r="B24">
        <v>22</v>
      </c>
      <c r="F24" s="18" t="s">
        <v>36</v>
      </c>
      <c r="G24" s="11" t="s">
        <v>29</v>
      </c>
      <c r="H24" s="11" t="str">
        <f t="shared" ref="H24:H31" si="0">CONCATENATE(F24,G24)</f>
        <v>EIRELI INDIVIDUALMENSAL - BOLETO</v>
      </c>
      <c r="I24" s="19">
        <f>130*12</f>
        <v>1560</v>
      </c>
      <c r="M24">
        <v>23</v>
      </c>
      <c r="O24">
        <v>23</v>
      </c>
      <c r="P24">
        <v>23</v>
      </c>
      <c r="W24">
        <v>22</v>
      </c>
      <c r="AB24">
        <v>22</v>
      </c>
    </row>
    <row r="25" spans="2:28" ht="15.75" thickBot="1" x14ac:dyDescent="0.3">
      <c r="B25">
        <v>23</v>
      </c>
      <c r="F25" s="20" t="s">
        <v>36</v>
      </c>
      <c r="G25" s="21" t="s">
        <v>30</v>
      </c>
      <c r="H25" s="21" t="str">
        <f t="shared" si="0"/>
        <v>EIRELI INDIVIDUALMENSAL - CARTÃO DE CRÉDITO</v>
      </c>
      <c r="I25" s="22">
        <f>123.5*12</f>
        <v>1482</v>
      </c>
      <c r="M25">
        <v>24</v>
      </c>
      <c r="O25">
        <v>24</v>
      </c>
      <c r="P25">
        <v>24</v>
      </c>
      <c r="W25">
        <v>23</v>
      </c>
      <c r="AB25">
        <v>23</v>
      </c>
    </row>
    <row r="26" spans="2:28" x14ac:dyDescent="0.25">
      <c r="B26">
        <v>24</v>
      </c>
      <c r="F26" s="15" t="s">
        <v>37</v>
      </c>
      <c r="G26" s="16" t="s">
        <v>32</v>
      </c>
      <c r="H26" s="16" t="str">
        <f t="shared" si="0"/>
        <v>PESSOA JURÍDICAÀ VISTA (ANUAL)</v>
      </c>
      <c r="I26" s="17" t="e">
        <f>1944+I13</f>
        <v>#VALUE!</v>
      </c>
      <c r="J26" t="str">
        <f>IF(G13=2,"PAGUE EM 4X DE R$ 486,00 NO CARTÃO DE CRÉDITO - APROVEITE!","")</f>
        <v/>
      </c>
      <c r="M26">
        <v>25</v>
      </c>
      <c r="O26">
        <v>25</v>
      </c>
      <c r="P26">
        <v>25</v>
      </c>
      <c r="W26">
        <v>24</v>
      </c>
      <c r="AB26">
        <v>24</v>
      </c>
    </row>
    <row r="27" spans="2:28" x14ac:dyDescent="0.25">
      <c r="B27">
        <v>25</v>
      </c>
      <c r="F27" s="18" t="s">
        <v>37</v>
      </c>
      <c r="G27" s="11" t="s">
        <v>29</v>
      </c>
      <c r="H27" s="11" t="str">
        <f t="shared" si="0"/>
        <v>PESSOA JURÍDICAMENSAL - BOLETO</v>
      </c>
      <c r="I27" s="19" t="e">
        <f>(180*12)+I13</f>
        <v>#VALUE!</v>
      </c>
      <c r="M27">
        <v>26</v>
      </c>
      <c r="O27">
        <v>26</v>
      </c>
      <c r="P27">
        <v>26</v>
      </c>
      <c r="W27">
        <v>25</v>
      </c>
      <c r="AB27">
        <v>25</v>
      </c>
    </row>
    <row r="28" spans="2:28" ht="15.75" thickBot="1" x14ac:dyDescent="0.3">
      <c r="B28">
        <v>26</v>
      </c>
      <c r="F28" s="20" t="s">
        <v>37</v>
      </c>
      <c r="G28" s="21" t="s">
        <v>30</v>
      </c>
      <c r="H28" s="21" t="str">
        <f t="shared" si="0"/>
        <v>PESSOA JURÍDICAMENSAL - CARTÃO DE CRÉDITO</v>
      </c>
      <c r="I28" s="22" t="e">
        <f>(171*12)+I13</f>
        <v>#VALUE!</v>
      </c>
      <c r="M28">
        <v>27</v>
      </c>
      <c r="O28">
        <v>27</v>
      </c>
      <c r="P28">
        <v>27</v>
      </c>
      <c r="W28">
        <v>26</v>
      </c>
      <c r="AB28">
        <v>26</v>
      </c>
    </row>
    <row r="29" spans="2:28" x14ac:dyDescent="0.25">
      <c r="B29">
        <v>27</v>
      </c>
      <c r="F29" s="23" t="s">
        <v>38</v>
      </c>
      <c r="G29" s="14" t="s">
        <v>32</v>
      </c>
      <c r="H29" s="14" t="str">
        <f t="shared" si="0"/>
        <v>PJ COM PARTICIPAÇÃO DE PJÀ VISTA (ANUAL)</v>
      </c>
      <c r="I29" s="24">
        <v>5508</v>
      </c>
      <c r="J29" t="s">
        <v>51</v>
      </c>
      <c r="M29">
        <v>28</v>
      </c>
      <c r="O29">
        <v>28</v>
      </c>
      <c r="P29">
        <v>28</v>
      </c>
      <c r="W29">
        <v>27</v>
      </c>
      <c r="AB29">
        <v>27</v>
      </c>
    </row>
    <row r="30" spans="2:28" x14ac:dyDescent="0.25">
      <c r="B30">
        <v>28</v>
      </c>
      <c r="F30" s="18" t="s">
        <v>38</v>
      </c>
      <c r="G30" s="11" t="s">
        <v>29</v>
      </c>
      <c r="H30" s="11" t="str">
        <f t="shared" si="0"/>
        <v>PJ COM PARTICIPAÇÃO DE PJMENSAL - BOLETO</v>
      </c>
      <c r="I30" s="19">
        <f>510*12</f>
        <v>6120</v>
      </c>
      <c r="M30">
        <v>29</v>
      </c>
      <c r="O30">
        <v>29</v>
      </c>
      <c r="P30">
        <v>29</v>
      </c>
      <c r="W30">
        <v>28</v>
      </c>
      <c r="AB30">
        <v>28</v>
      </c>
    </row>
    <row r="31" spans="2:28" ht="15.75" thickBot="1" x14ac:dyDescent="0.3">
      <c r="B31">
        <v>29</v>
      </c>
      <c r="F31" s="69" t="s">
        <v>38</v>
      </c>
      <c r="G31" s="70" t="s">
        <v>30</v>
      </c>
      <c r="H31" s="70" t="str">
        <f t="shared" si="0"/>
        <v>PJ COM PARTICIPAÇÃO DE PJMENSAL - CARTÃO DE CRÉDITO</v>
      </c>
      <c r="I31" s="71">
        <f>484.5*12</f>
        <v>5814</v>
      </c>
      <c r="M31">
        <v>30</v>
      </c>
      <c r="O31">
        <v>30</v>
      </c>
      <c r="P31">
        <v>30</v>
      </c>
      <c r="W31">
        <v>29</v>
      </c>
      <c r="AB31">
        <v>29</v>
      </c>
    </row>
    <row r="32" spans="2:28" x14ac:dyDescent="0.25">
      <c r="F32" s="72" t="s">
        <v>62</v>
      </c>
      <c r="G32" s="73" t="s">
        <v>32</v>
      </c>
      <c r="H32" s="73" t="str">
        <f t="shared" ref="H32:H34" si="1">CONCATENATE(F32,G32)</f>
        <v>PESSOA FÍSICAÀ VISTA (ANUAL)</v>
      </c>
      <c r="I32" s="74">
        <f>G2</f>
        <v>972</v>
      </c>
      <c r="J32" t="s">
        <v>72</v>
      </c>
      <c r="K32">
        <f>972/4</f>
        <v>243</v>
      </c>
      <c r="W32">
        <v>30</v>
      </c>
      <c r="AB32">
        <v>30</v>
      </c>
    </row>
    <row r="33" spans="2:10" x14ac:dyDescent="0.25">
      <c r="F33" s="75" t="s">
        <v>62</v>
      </c>
      <c r="G33" s="11" t="s">
        <v>29</v>
      </c>
      <c r="H33" s="11" t="str">
        <f t="shared" si="1"/>
        <v>PESSOA FÍSICAMENSAL - BOLETO</v>
      </c>
      <c r="I33" s="76">
        <f>H2*12</f>
        <v>1080</v>
      </c>
    </row>
    <row r="34" spans="2:10" ht="15.75" thickBot="1" x14ac:dyDescent="0.3">
      <c r="F34" s="77" t="s">
        <v>62</v>
      </c>
      <c r="G34" s="78" t="s">
        <v>30</v>
      </c>
      <c r="H34" s="78" t="str">
        <f t="shared" si="1"/>
        <v>PESSOA FÍSICAMENSAL - CARTÃO DE CRÉDITO</v>
      </c>
      <c r="I34" s="79">
        <f>I2*12</f>
        <v>1026</v>
      </c>
    </row>
    <row r="35" spans="2:10" x14ac:dyDescent="0.25">
      <c r="F35" s="67"/>
      <c r="G35" s="67"/>
      <c r="H35" s="67"/>
      <c r="I35" s="68"/>
    </row>
    <row r="36" spans="2:10" x14ac:dyDescent="0.25">
      <c r="B36">
        <v>30</v>
      </c>
    </row>
    <row r="38" spans="2:10" x14ac:dyDescent="0.25">
      <c r="J38" t="e">
        <f>VLOOKUP(F11,H23:J34,3,0)</f>
        <v>#N/A</v>
      </c>
    </row>
    <row r="41" spans="2:10" x14ac:dyDescent="0.25">
      <c r="J41">
        <f>IFERROR(J38,0)</f>
        <v>0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13</vt:i4>
      </vt:variant>
    </vt:vector>
  </HeadingPairs>
  <TitlesOfParts>
    <vt:vector size="18" baseType="lpstr">
      <vt:lpstr>PF V.1</vt:lpstr>
      <vt:lpstr>INT. V.5</vt:lpstr>
      <vt:lpstr>PF V.3</vt:lpstr>
      <vt:lpstr>PERGUNTAS</vt:lpstr>
      <vt:lpstr>BASE DE DADOS</vt:lpstr>
      <vt:lpstr>'INT. V.5'!Area_de_impressao</vt:lpstr>
      <vt:lpstr>'PF V.3'!Area_de_impressao</vt:lpstr>
      <vt:lpstr>EI</vt:lpstr>
      <vt:lpstr>N</vt:lpstr>
      <vt:lpstr>OPPF</vt:lpstr>
      <vt:lpstr>OPPJ</vt:lpstr>
      <vt:lpstr>PF</vt:lpstr>
      <vt:lpstr>PGTO.</vt:lpstr>
      <vt:lpstr>PJP</vt:lpstr>
      <vt:lpstr>PJPJ</vt:lpstr>
      <vt:lpstr>S</vt:lpstr>
      <vt:lpstr>SOCIOSPJ</vt:lpstr>
      <vt:lpstr>TIPOPJ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</dc:creator>
  <cp:lastModifiedBy>Juan Carlos</cp:lastModifiedBy>
  <cp:lastPrinted>2020-09-15T20:49:32Z</cp:lastPrinted>
  <dcterms:created xsi:type="dcterms:W3CDTF">2020-08-28T19:40:41Z</dcterms:created>
  <dcterms:modified xsi:type="dcterms:W3CDTF">2020-11-06T01:01:42Z</dcterms:modified>
</cp:coreProperties>
</file>